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D:\KEC. TASIKMADU\perencanaan\POK Trib I utk Lap Pembangunan\POK TASIKMADU 2025\"/>
    </mc:Choice>
  </mc:AlternateContent>
  <xr:revisionPtr revIDLastSave="0" documentId="13_ncr:1_{1AC3F17D-AD9A-4CE3-9E66-8D1891D97C81}" xr6:coauthVersionLast="45" xr6:coauthVersionMax="45" xr10:uidLastSave="{00000000-0000-0000-0000-000000000000}"/>
  <bookViews>
    <workbookView xWindow="11748" yWindow="48" windowWidth="11172" windowHeight="12000" xr2:uid="{00000000-000D-0000-FFFF-FFFF00000000}"/>
  </bookViews>
  <sheets>
    <sheet name="sept" sheetId="122" r:id="rId1"/>
    <sheet name="agus" sheetId="121" r:id="rId2"/>
    <sheet name="JULI" sheetId="120" r:id="rId3"/>
    <sheet name="realisasi sd juni" sheetId="119" r:id="rId4"/>
    <sheet name="JUNI" sheetId="118" r:id="rId5"/>
    <sheet name="MEI" sheetId="117" r:id="rId6"/>
    <sheet name="realisasi sd april" sheetId="116" r:id="rId7"/>
    <sheet name="APRIL" sheetId="115" r:id="rId8"/>
    <sheet name="REKAP REALISASI BELANJA maret" sheetId="114" r:id="rId9"/>
    <sheet name="MARET" sheetId="113" r:id="rId10"/>
    <sheet name="FEBUARI" sheetId="112" r:id="rId11"/>
    <sheet name="JANUARI" sheetId="111" r:id="rId12"/>
    <sheet name="Sheet3" sheetId="99" r:id="rId13"/>
  </sheets>
  <definedNames>
    <definedName name="_xlnm.Print_Area" localSheetId="1">agus!$A$1:$O$84</definedName>
    <definedName name="_xlnm.Print_Area" localSheetId="7">APRIL!$A$1:$N$84</definedName>
    <definedName name="_xlnm.Print_Area" localSheetId="10">FEBUARI!$A$1:$N$84</definedName>
    <definedName name="_xlnm.Print_Area" localSheetId="11">JANUARI!$A$1:$N$84</definedName>
    <definedName name="_xlnm.Print_Area" localSheetId="2">JULI!$A$1:$O$84</definedName>
    <definedName name="_xlnm.Print_Area" localSheetId="4">JUNI!$A$1:$O$84</definedName>
    <definedName name="_xlnm.Print_Area" localSheetId="9">MARET!$A$1:$N$84</definedName>
    <definedName name="_xlnm.Print_Area" localSheetId="5">MEI!$A$1:$N$84</definedName>
    <definedName name="_xlnm.Print_Area" localSheetId="6">'realisasi sd april'!$A$1:$H$82</definedName>
    <definedName name="_xlnm.Print_Area" localSheetId="3">'realisasi sd juni'!$A$1:$H$82</definedName>
    <definedName name="_xlnm.Print_Area" localSheetId="8">'REKAP REALISASI BELANJA maret'!$A$1:$H$82</definedName>
    <definedName name="_xlnm.Print_Area" localSheetId="0">sept!$A$1:$O$84</definedName>
    <definedName name="_xlnm.Print_Area" localSheetId="12">Sheet3!$A$9:$G$22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22" l="1"/>
  <c r="F62" i="122" l="1"/>
  <c r="G62" i="122" s="1"/>
  <c r="F42" i="122"/>
  <c r="F39" i="122"/>
  <c r="J39" i="122" s="1"/>
  <c r="F37" i="122"/>
  <c r="F30" i="122"/>
  <c r="F16" i="122"/>
  <c r="J16" i="122" s="1"/>
  <c r="J15" i="122" s="1"/>
  <c r="J72" i="122"/>
  <c r="J71" i="122" s="1"/>
  <c r="J70" i="122" s="1"/>
  <c r="I72" i="122"/>
  <c r="K72" i="122" s="1"/>
  <c r="G72" i="122"/>
  <c r="H72" i="122" s="1"/>
  <c r="F71" i="122"/>
  <c r="F70" i="122" s="1"/>
  <c r="E71" i="122"/>
  <c r="D71" i="122"/>
  <c r="D70" i="122" s="1"/>
  <c r="E70" i="122"/>
  <c r="M68" i="122"/>
  <c r="J68" i="122"/>
  <c r="I68" i="122"/>
  <c r="K68" i="122" s="1"/>
  <c r="G68" i="122"/>
  <c r="J66" i="122"/>
  <c r="I66" i="122"/>
  <c r="G66" i="122"/>
  <c r="H66" i="122" s="1"/>
  <c r="F65" i="122"/>
  <c r="F64" i="122" s="1"/>
  <c r="E65" i="122"/>
  <c r="E64" i="122" s="1"/>
  <c r="D65" i="122"/>
  <c r="D64" i="122"/>
  <c r="I62" i="122"/>
  <c r="I61" i="122"/>
  <c r="I60" i="122" s="1"/>
  <c r="F61" i="122"/>
  <c r="F60" i="122" s="1"/>
  <c r="E61" i="122"/>
  <c r="E60" i="122" s="1"/>
  <c r="D61" i="122"/>
  <c r="D60" i="122"/>
  <c r="J58" i="122"/>
  <c r="I58" i="122"/>
  <c r="I55" i="122" s="1"/>
  <c r="I54" i="122" s="1"/>
  <c r="G58" i="122"/>
  <c r="H58" i="122" s="1"/>
  <c r="I56" i="122"/>
  <c r="F56" i="122"/>
  <c r="J56" i="122" s="1"/>
  <c r="J55" i="122" s="1"/>
  <c r="J54" i="122" s="1"/>
  <c r="E55" i="122"/>
  <c r="E54" i="122" s="1"/>
  <c r="D55" i="122"/>
  <c r="D54" i="122" s="1"/>
  <c r="J52" i="122"/>
  <c r="I52" i="122"/>
  <c r="K52" i="122" s="1"/>
  <c r="L52" i="122" s="1"/>
  <c r="M52" i="122" s="1"/>
  <c r="H52" i="122"/>
  <c r="G52" i="122"/>
  <c r="J50" i="122"/>
  <c r="J49" i="122" s="1"/>
  <c r="J48" i="122" s="1"/>
  <c r="I50" i="122"/>
  <c r="K50" i="122" s="1"/>
  <c r="G50" i="122"/>
  <c r="G49" i="122" s="1"/>
  <c r="F49" i="122"/>
  <c r="F48" i="122" s="1"/>
  <c r="E49" i="122"/>
  <c r="D49" i="122"/>
  <c r="E48" i="122"/>
  <c r="D48" i="122"/>
  <c r="J46" i="122"/>
  <c r="I46" i="122"/>
  <c r="G46" i="122"/>
  <c r="H46" i="122" s="1"/>
  <c r="I44" i="122"/>
  <c r="I41" i="122" s="1"/>
  <c r="F44" i="122"/>
  <c r="G44" i="122" s="1"/>
  <c r="H44" i="122" s="1"/>
  <c r="I42" i="122"/>
  <c r="G42" i="122"/>
  <c r="E41" i="122"/>
  <c r="D41" i="122"/>
  <c r="I39" i="122"/>
  <c r="I36" i="122" s="1"/>
  <c r="I37" i="122"/>
  <c r="F36" i="122"/>
  <c r="E36" i="122"/>
  <c r="D36" i="122"/>
  <c r="I34" i="122"/>
  <c r="F34" i="122"/>
  <c r="J34" i="122" s="1"/>
  <c r="I32" i="122"/>
  <c r="F32" i="122"/>
  <c r="G32" i="122" s="1"/>
  <c r="H32" i="122" s="1"/>
  <c r="I30" i="122"/>
  <c r="J30" i="122"/>
  <c r="J28" i="122"/>
  <c r="I28" i="122"/>
  <c r="G28" i="122"/>
  <c r="H28" i="122" s="1"/>
  <c r="J26" i="122"/>
  <c r="I26" i="122"/>
  <c r="G26" i="122"/>
  <c r="H26" i="122" s="1"/>
  <c r="J24" i="122"/>
  <c r="I24" i="122"/>
  <c r="G24" i="122"/>
  <c r="J22" i="122"/>
  <c r="I22" i="122"/>
  <c r="H22" i="122"/>
  <c r="E21" i="122"/>
  <c r="D21" i="122"/>
  <c r="J19" i="122"/>
  <c r="I19" i="122"/>
  <c r="G19" i="122"/>
  <c r="H19" i="122" s="1"/>
  <c r="I18" i="122"/>
  <c r="F18" i="122"/>
  <c r="E18" i="122"/>
  <c r="D18" i="122"/>
  <c r="I16" i="122"/>
  <c r="I15" i="122"/>
  <c r="E15" i="122"/>
  <c r="D15" i="122"/>
  <c r="I13" i="122"/>
  <c r="K13" i="122" s="1"/>
  <c r="L13" i="122" s="1"/>
  <c r="M13" i="122" s="1"/>
  <c r="G13" i="122"/>
  <c r="H13" i="122" s="1"/>
  <c r="I11" i="122"/>
  <c r="J11" i="122"/>
  <c r="J10" i="122" s="1"/>
  <c r="F10" i="122"/>
  <c r="E10" i="122"/>
  <c r="D10" i="122"/>
  <c r="D9" i="122" s="1"/>
  <c r="K26" i="122" l="1"/>
  <c r="L26" i="122" s="1"/>
  <c r="M26" i="122" s="1"/>
  <c r="G39" i="122"/>
  <c r="H39" i="122" s="1"/>
  <c r="K66" i="122"/>
  <c r="L66" i="122" s="1"/>
  <c r="M66" i="122" s="1"/>
  <c r="J65" i="122"/>
  <c r="J64" i="122" s="1"/>
  <c r="J62" i="122"/>
  <c r="J61" i="122" s="1"/>
  <c r="J60" i="122" s="1"/>
  <c r="K58" i="122"/>
  <c r="L58" i="122" s="1"/>
  <c r="M58" i="122" s="1"/>
  <c r="J44" i="122"/>
  <c r="K46" i="122"/>
  <c r="L46" i="122" s="1"/>
  <c r="M46" i="122" s="1"/>
  <c r="K44" i="122"/>
  <c r="L44" i="122" s="1"/>
  <c r="M44" i="122" s="1"/>
  <c r="J42" i="122"/>
  <c r="K42" i="122" s="1"/>
  <c r="K39" i="122"/>
  <c r="L39" i="122" s="1"/>
  <c r="M39" i="122" s="1"/>
  <c r="J37" i="122"/>
  <c r="G37" i="122"/>
  <c r="K28" i="122"/>
  <c r="L28" i="122" s="1"/>
  <c r="M28" i="122" s="1"/>
  <c r="K24" i="122"/>
  <c r="L24" i="122" s="1"/>
  <c r="M24" i="122" s="1"/>
  <c r="K11" i="122"/>
  <c r="L11" i="122" s="1"/>
  <c r="M11" i="122" s="1"/>
  <c r="J18" i="122"/>
  <c r="K19" i="122"/>
  <c r="D74" i="122"/>
  <c r="K16" i="122"/>
  <c r="K49" i="122"/>
  <c r="L50" i="122"/>
  <c r="M50" i="122" s="1"/>
  <c r="K34" i="122"/>
  <c r="L34" i="122" s="1"/>
  <c r="M34" i="122" s="1"/>
  <c r="G48" i="122"/>
  <c r="H48" i="122" s="1"/>
  <c r="H49" i="122"/>
  <c r="K30" i="122"/>
  <c r="L30" i="122" s="1"/>
  <c r="M30" i="122" s="1"/>
  <c r="L72" i="122"/>
  <c r="M72" i="122" s="1"/>
  <c r="K71" i="122"/>
  <c r="H62" i="122"/>
  <c r="G61" i="122"/>
  <c r="H42" i="122"/>
  <c r="G41" i="122"/>
  <c r="I21" i="122"/>
  <c r="K22" i="122"/>
  <c r="K56" i="122"/>
  <c r="G71" i="122"/>
  <c r="H50" i="122"/>
  <c r="F55" i="122"/>
  <c r="F54" i="122" s="1"/>
  <c r="G65" i="122"/>
  <c r="F15" i="122"/>
  <c r="G30" i="122"/>
  <c r="H30" i="122" s="1"/>
  <c r="G34" i="122"/>
  <c r="H34" i="122" s="1"/>
  <c r="I49" i="122"/>
  <c r="I48" i="122" s="1"/>
  <c r="G56" i="122"/>
  <c r="G11" i="122"/>
  <c r="G16" i="122"/>
  <c r="I65" i="122"/>
  <c r="I64" i="122" s="1"/>
  <c r="I71" i="122"/>
  <c r="I70" i="122" s="1"/>
  <c r="I10" i="122"/>
  <c r="G18" i="122"/>
  <c r="H18" i="122" s="1"/>
  <c r="F21" i="122"/>
  <c r="H24" i="122"/>
  <c r="J32" i="122"/>
  <c r="J21" i="122" s="1"/>
  <c r="F41" i="122"/>
  <c r="F74" i="121"/>
  <c r="F34" i="121"/>
  <c r="F11" i="121"/>
  <c r="K10" i="122" l="1"/>
  <c r="K62" i="122"/>
  <c r="K65" i="122"/>
  <c r="L65" i="122" s="1"/>
  <c r="M65" i="122" s="1"/>
  <c r="K41" i="122"/>
  <c r="L42" i="122"/>
  <c r="M42" i="122" s="1"/>
  <c r="J41" i="122"/>
  <c r="H37" i="122"/>
  <c r="G36" i="122"/>
  <c r="H36" i="122" s="1"/>
  <c r="K37" i="122"/>
  <c r="J36" i="122"/>
  <c r="J9" i="122" s="1"/>
  <c r="J74" i="122" s="1"/>
  <c r="I9" i="122"/>
  <c r="E9" i="122" s="1"/>
  <c r="E74" i="122" s="1"/>
  <c r="M10" i="122"/>
  <c r="L10" i="122"/>
  <c r="G64" i="122"/>
  <c r="H64" i="122" s="1"/>
  <c r="H65" i="122"/>
  <c r="K18" i="122"/>
  <c r="L19" i="122"/>
  <c r="M19" i="122" s="1"/>
  <c r="L16" i="122"/>
  <c r="M16" i="122" s="1"/>
  <c r="K15" i="122"/>
  <c r="G21" i="122"/>
  <c r="H21" i="122" s="1"/>
  <c r="K32" i="122"/>
  <c r="L32" i="122" s="1"/>
  <c r="M32" i="122" s="1"/>
  <c r="K55" i="122"/>
  <c r="L56" i="122"/>
  <c r="M56" i="122" s="1"/>
  <c r="L22" i="122"/>
  <c r="M22" i="122" s="1"/>
  <c r="H61" i="122"/>
  <c r="G60" i="122"/>
  <c r="H60" i="122" s="1"/>
  <c r="F9" i="122"/>
  <c r="F74" i="122" s="1"/>
  <c r="L71" i="122"/>
  <c r="M71" i="122" s="1"/>
  <c r="K70" i="122"/>
  <c r="L70" i="122" s="1"/>
  <c r="M70" i="122" s="1"/>
  <c r="H16" i="122"/>
  <c r="G15" i="122"/>
  <c r="H15" i="122" s="1"/>
  <c r="H11" i="122"/>
  <c r="G10" i="122"/>
  <c r="H56" i="122"/>
  <c r="G55" i="122"/>
  <c r="G70" i="122"/>
  <c r="H70" i="122" s="1"/>
  <c r="H71" i="122"/>
  <c r="M41" i="122"/>
  <c r="L41" i="122"/>
  <c r="M49" i="122"/>
  <c r="L49" i="122"/>
  <c r="K48" i="122"/>
  <c r="F62" i="121"/>
  <c r="F44" i="121"/>
  <c r="G44" i="121" s="1"/>
  <c r="H44" i="121" s="1"/>
  <c r="F42" i="121"/>
  <c r="F39" i="121"/>
  <c r="F37" i="121"/>
  <c r="G37" i="121" s="1"/>
  <c r="H37" i="121" s="1"/>
  <c r="F30" i="121"/>
  <c r="J30" i="121" s="1"/>
  <c r="F16" i="121"/>
  <c r="J16" i="121" s="1"/>
  <c r="J15" i="121" s="1"/>
  <c r="J72" i="121"/>
  <c r="J71" i="121" s="1"/>
  <c r="J70" i="121" s="1"/>
  <c r="I72" i="121"/>
  <c r="I71" i="121" s="1"/>
  <c r="I70" i="121" s="1"/>
  <c r="G72" i="121"/>
  <c r="H72" i="121" s="1"/>
  <c r="F71" i="121"/>
  <c r="F70" i="121" s="1"/>
  <c r="E71" i="121"/>
  <c r="E70" i="121" s="1"/>
  <c r="D71" i="121"/>
  <c r="D70" i="121" s="1"/>
  <c r="M68" i="121"/>
  <c r="J68" i="121"/>
  <c r="I68" i="121"/>
  <c r="G68" i="121"/>
  <c r="J66" i="121"/>
  <c r="I66" i="121"/>
  <c r="G66" i="121"/>
  <c r="F65" i="121"/>
  <c r="F64" i="121" s="1"/>
  <c r="E65" i="121"/>
  <c r="E64" i="121" s="1"/>
  <c r="D65" i="121"/>
  <c r="D64" i="121" s="1"/>
  <c r="I62" i="121"/>
  <c r="I61" i="121" s="1"/>
  <c r="I60" i="121" s="1"/>
  <c r="G62" i="121"/>
  <c r="E61" i="121"/>
  <c r="E60" i="121" s="1"/>
  <c r="D61" i="121"/>
  <c r="D60" i="121" s="1"/>
  <c r="J58" i="121"/>
  <c r="I58" i="121"/>
  <c r="G58" i="121"/>
  <c r="H58" i="121" s="1"/>
  <c r="I56" i="121"/>
  <c r="F56" i="121"/>
  <c r="J56" i="121" s="1"/>
  <c r="E55" i="121"/>
  <c r="E54" i="121" s="1"/>
  <c r="D55" i="121"/>
  <c r="D54" i="121" s="1"/>
  <c r="J52" i="121"/>
  <c r="I52" i="121"/>
  <c r="G52" i="121"/>
  <c r="H52" i="121" s="1"/>
  <c r="J50" i="121"/>
  <c r="I50" i="121"/>
  <c r="G50" i="121"/>
  <c r="F49" i="121"/>
  <c r="F48" i="121" s="1"/>
  <c r="E49" i="121"/>
  <c r="E48" i="121" s="1"/>
  <c r="D49" i="121"/>
  <c r="D48" i="121" s="1"/>
  <c r="J46" i="121"/>
  <c r="I46" i="121"/>
  <c r="G46" i="121"/>
  <c r="H46" i="121" s="1"/>
  <c r="I44" i="121"/>
  <c r="I42" i="121"/>
  <c r="J42" i="121"/>
  <c r="E41" i="121"/>
  <c r="D41" i="121"/>
  <c r="I39" i="121"/>
  <c r="I37" i="121"/>
  <c r="E36" i="121"/>
  <c r="D36" i="121"/>
  <c r="I34" i="121"/>
  <c r="J34" i="121"/>
  <c r="I32" i="121"/>
  <c r="F32" i="121"/>
  <c r="J32" i="121" s="1"/>
  <c r="I30" i="121"/>
  <c r="J28" i="121"/>
  <c r="I28" i="121"/>
  <c r="G28" i="121"/>
  <c r="H28" i="121" s="1"/>
  <c r="J26" i="121"/>
  <c r="I26" i="121"/>
  <c r="G26" i="121"/>
  <c r="H26" i="121" s="1"/>
  <c r="J24" i="121"/>
  <c r="I24" i="121"/>
  <c r="G24" i="121"/>
  <c r="H24" i="121" s="1"/>
  <c r="J22" i="121"/>
  <c r="I22" i="121"/>
  <c r="G22" i="121"/>
  <c r="H22" i="121" s="1"/>
  <c r="E21" i="121"/>
  <c r="D21" i="121"/>
  <c r="J19" i="121"/>
  <c r="J18" i="121" s="1"/>
  <c r="I19" i="121"/>
  <c r="I18" i="121" s="1"/>
  <c r="G19" i="121"/>
  <c r="F18" i="121"/>
  <c r="E18" i="121"/>
  <c r="D18" i="121"/>
  <c r="I16" i="121"/>
  <c r="I15" i="121" s="1"/>
  <c r="E15" i="121"/>
  <c r="D15" i="121"/>
  <c r="I13" i="121"/>
  <c r="K13" i="121" s="1"/>
  <c r="L13" i="121" s="1"/>
  <c r="M13" i="121" s="1"/>
  <c r="G13" i="121"/>
  <c r="H13" i="121" s="1"/>
  <c r="J11" i="121"/>
  <c r="J10" i="121" s="1"/>
  <c r="I11" i="121"/>
  <c r="G11" i="121"/>
  <c r="F10" i="121"/>
  <c r="E10" i="121"/>
  <c r="D10" i="121"/>
  <c r="K61" i="122" l="1"/>
  <c r="L62" i="122"/>
  <c r="M62" i="122" s="1"/>
  <c r="K64" i="122"/>
  <c r="L64" i="122" s="1"/>
  <c r="M64" i="122" s="1"/>
  <c r="I74" i="122"/>
  <c r="K36" i="122"/>
  <c r="L37" i="122"/>
  <c r="M37" i="122" s="1"/>
  <c r="M18" i="122"/>
  <c r="L18" i="122"/>
  <c r="H55" i="122"/>
  <c r="H54" i="122" s="1"/>
  <c r="G54" i="122"/>
  <c r="K54" i="122"/>
  <c r="L55" i="122"/>
  <c r="K21" i="122"/>
  <c r="H10" i="122"/>
  <c r="G9" i="122"/>
  <c r="M15" i="122"/>
  <c r="L15" i="122"/>
  <c r="M48" i="122"/>
  <c r="L48" i="122"/>
  <c r="F15" i="121"/>
  <c r="J65" i="121"/>
  <c r="J64" i="121" s="1"/>
  <c r="I65" i="121"/>
  <c r="I64" i="121" s="1"/>
  <c r="K28" i="121"/>
  <c r="L28" i="121" s="1"/>
  <c r="M28" i="121" s="1"/>
  <c r="G10" i="121"/>
  <c r="H10" i="121" s="1"/>
  <c r="K50" i="121"/>
  <c r="L50" i="121" s="1"/>
  <c r="M50" i="121" s="1"/>
  <c r="K68" i="121"/>
  <c r="K11" i="121"/>
  <c r="L11" i="121" s="1"/>
  <c r="M11" i="121" s="1"/>
  <c r="K46" i="121"/>
  <c r="L46" i="121" s="1"/>
  <c r="M46" i="121" s="1"/>
  <c r="K24" i="121"/>
  <c r="L24" i="121" s="1"/>
  <c r="M24" i="121" s="1"/>
  <c r="I36" i="121"/>
  <c r="D9" i="121"/>
  <c r="K22" i="121"/>
  <c r="L22" i="121" s="1"/>
  <c r="M22" i="121" s="1"/>
  <c r="K26" i="121"/>
  <c r="L26" i="121" s="1"/>
  <c r="M26" i="121" s="1"/>
  <c r="D74" i="121"/>
  <c r="K52" i="121"/>
  <c r="L52" i="121" s="1"/>
  <c r="M52" i="121" s="1"/>
  <c r="I21" i="121"/>
  <c r="H11" i="121"/>
  <c r="K58" i="121"/>
  <c r="L58" i="121" s="1"/>
  <c r="M58" i="121" s="1"/>
  <c r="F36" i="121"/>
  <c r="K19" i="121"/>
  <c r="L19" i="121" s="1"/>
  <c r="M19" i="121" s="1"/>
  <c r="J49" i="121"/>
  <c r="J48" i="121" s="1"/>
  <c r="K66" i="121"/>
  <c r="L66" i="121" s="1"/>
  <c r="M66" i="121" s="1"/>
  <c r="J55" i="121"/>
  <c r="J54" i="121" s="1"/>
  <c r="K56" i="121"/>
  <c r="L56" i="121" s="1"/>
  <c r="M56" i="121" s="1"/>
  <c r="K72" i="121"/>
  <c r="L72" i="121" s="1"/>
  <c r="M72" i="121" s="1"/>
  <c r="F61" i="121"/>
  <c r="F60" i="121" s="1"/>
  <c r="K42" i="121"/>
  <c r="L42" i="121" s="1"/>
  <c r="M42" i="121" s="1"/>
  <c r="G39" i="121"/>
  <c r="H39" i="121" s="1"/>
  <c r="J39" i="121"/>
  <c r="K39" i="121" s="1"/>
  <c r="L39" i="121" s="1"/>
  <c r="M39" i="121" s="1"/>
  <c r="J37" i="121"/>
  <c r="I10" i="121"/>
  <c r="H19" i="121"/>
  <c r="G18" i="121"/>
  <c r="H18" i="121" s="1"/>
  <c r="K32" i="121"/>
  <c r="L32" i="121" s="1"/>
  <c r="M32" i="121" s="1"/>
  <c r="K16" i="121"/>
  <c r="J44" i="121"/>
  <c r="J41" i="121" s="1"/>
  <c r="I41" i="121"/>
  <c r="I55" i="121"/>
  <c r="I54" i="121" s="1"/>
  <c r="H62" i="121"/>
  <c r="G61" i="121"/>
  <c r="J21" i="121"/>
  <c r="G65" i="121"/>
  <c r="K30" i="121"/>
  <c r="L30" i="121" s="1"/>
  <c r="M30" i="121" s="1"/>
  <c r="K34" i="121"/>
  <c r="L34" i="121" s="1"/>
  <c r="M34" i="121" s="1"/>
  <c r="G42" i="121"/>
  <c r="F41" i="121"/>
  <c r="G49" i="121"/>
  <c r="H50" i="121"/>
  <c r="J62" i="121"/>
  <c r="J61" i="121" s="1"/>
  <c r="J60" i="121" s="1"/>
  <c r="H66" i="121"/>
  <c r="G71" i="121"/>
  <c r="F55" i="121"/>
  <c r="F54" i="121" s="1"/>
  <c r="G30" i="121"/>
  <c r="H30" i="121" s="1"/>
  <c r="G32" i="121"/>
  <c r="H32" i="121" s="1"/>
  <c r="G34" i="121"/>
  <c r="H34" i="121" s="1"/>
  <c r="I49" i="121"/>
  <c r="I48" i="121" s="1"/>
  <c r="G56" i="121"/>
  <c r="G16" i="121"/>
  <c r="F21" i="121"/>
  <c r="G52" i="118"/>
  <c r="K60" i="122" l="1"/>
  <c r="L60" i="122" s="1"/>
  <c r="M60" i="122" s="1"/>
  <c r="L61" i="122"/>
  <c r="M61" i="122" s="1"/>
  <c r="M36" i="122"/>
  <c r="L36" i="122"/>
  <c r="M21" i="122"/>
  <c r="L21" i="122"/>
  <c r="K9" i="122"/>
  <c r="M55" i="122"/>
  <c r="M54" i="122" s="1"/>
  <c r="L54" i="122"/>
  <c r="H9" i="122"/>
  <c r="G74" i="122"/>
  <c r="H74" i="122" s="1"/>
  <c r="K10" i="121"/>
  <c r="K21" i="121"/>
  <c r="L21" i="121" s="1"/>
  <c r="K49" i="121"/>
  <c r="L49" i="121" s="1"/>
  <c r="K71" i="121"/>
  <c r="K65" i="121"/>
  <c r="L65" i="121" s="1"/>
  <c r="M65" i="121" s="1"/>
  <c r="F9" i="121"/>
  <c r="K18" i="121"/>
  <c r="M18" i="121" s="1"/>
  <c r="J36" i="121"/>
  <c r="J9" i="121" s="1"/>
  <c r="J74" i="121" s="1"/>
  <c r="K55" i="121"/>
  <c r="G36" i="121"/>
  <c r="H36" i="121" s="1"/>
  <c r="K62" i="121"/>
  <c r="L62" i="121" s="1"/>
  <c r="M62" i="121" s="1"/>
  <c r="K37" i="121"/>
  <c r="G21" i="121"/>
  <c r="H21" i="121" s="1"/>
  <c r="K15" i="121"/>
  <c r="L16" i="121"/>
  <c r="M16" i="121" s="1"/>
  <c r="M10" i="121"/>
  <c r="L10" i="121"/>
  <c r="L71" i="121"/>
  <c r="M71" i="121" s="1"/>
  <c r="K70" i="121"/>
  <c r="L70" i="121" s="1"/>
  <c r="M70" i="121" s="1"/>
  <c r="G48" i="121"/>
  <c r="H48" i="121" s="1"/>
  <c r="H49" i="121"/>
  <c r="K44" i="121"/>
  <c r="H71" i="121"/>
  <c r="G70" i="121"/>
  <c r="H70" i="121" s="1"/>
  <c r="H65" i="121"/>
  <c r="G64" i="121"/>
  <c r="H64" i="121" s="1"/>
  <c r="H42" i="121"/>
  <c r="G41" i="121"/>
  <c r="H61" i="121"/>
  <c r="G60" i="121"/>
  <c r="H60" i="121" s="1"/>
  <c r="G15" i="121"/>
  <c r="H16" i="121"/>
  <c r="H56" i="121"/>
  <c r="G55" i="121"/>
  <c r="I9" i="121"/>
  <c r="F62" i="120"/>
  <c r="F61" i="120" s="1"/>
  <c r="F60" i="120" s="1"/>
  <c r="F42" i="120"/>
  <c r="F39" i="120"/>
  <c r="J39" i="120" s="1"/>
  <c r="F37" i="120"/>
  <c r="G37" i="120" s="1"/>
  <c r="H37" i="120" s="1"/>
  <c r="F30" i="120"/>
  <c r="G30" i="120" s="1"/>
  <c r="H30" i="120" s="1"/>
  <c r="F16" i="120"/>
  <c r="G16" i="120" s="1"/>
  <c r="J72" i="120"/>
  <c r="I72" i="120"/>
  <c r="I71" i="120" s="1"/>
  <c r="I70" i="120" s="1"/>
  <c r="G72" i="120"/>
  <c r="H72" i="120" s="1"/>
  <c r="J71" i="120"/>
  <c r="J70" i="120" s="1"/>
  <c r="F71" i="120"/>
  <c r="F70" i="120" s="1"/>
  <c r="E71" i="120"/>
  <c r="E70" i="120" s="1"/>
  <c r="D71" i="120"/>
  <c r="D70" i="120" s="1"/>
  <c r="M68" i="120"/>
  <c r="J68" i="120"/>
  <c r="I68" i="120"/>
  <c r="G68" i="120"/>
  <c r="J66" i="120"/>
  <c r="I66" i="120"/>
  <c r="G66" i="120"/>
  <c r="H66" i="120" s="1"/>
  <c r="F65" i="120"/>
  <c r="F64" i="120" s="1"/>
  <c r="E65" i="120"/>
  <c r="E64" i="120" s="1"/>
  <c r="D65" i="120"/>
  <c r="D64" i="120"/>
  <c r="I62" i="120"/>
  <c r="I61" i="120" s="1"/>
  <c r="I60" i="120" s="1"/>
  <c r="E61" i="120"/>
  <c r="E60" i="120" s="1"/>
  <c r="D61" i="120"/>
  <c r="D60" i="120" s="1"/>
  <c r="J58" i="120"/>
  <c r="I58" i="120"/>
  <c r="G58" i="120"/>
  <c r="H58" i="120" s="1"/>
  <c r="I56" i="120"/>
  <c r="F56" i="120"/>
  <c r="G56" i="120" s="1"/>
  <c r="E55" i="120"/>
  <c r="E54" i="120" s="1"/>
  <c r="D55" i="120"/>
  <c r="D54" i="120" s="1"/>
  <c r="J52" i="120"/>
  <c r="I52" i="120"/>
  <c r="G52" i="120"/>
  <c r="H52" i="120" s="1"/>
  <c r="J50" i="120"/>
  <c r="I50" i="120"/>
  <c r="G50" i="120"/>
  <c r="H50" i="120" s="1"/>
  <c r="F49" i="120"/>
  <c r="F48" i="120" s="1"/>
  <c r="E49" i="120"/>
  <c r="E48" i="120" s="1"/>
  <c r="D49" i="120"/>
  <c r="D48" i="120" s="1"/>
  <c r="J46" i="120"/>
  <c r="I46" i="120"/>
  <c r="G46" i="120"/>
  <c r="H46" i="120" s="1"/>
  <c r="I44" i="120"/>
  <c r="F44" i="120"/>
  <c r="I42" i="120"/>
  <c r="E41" i="120"/>
  <c r="D41" i="120"/>
  <c r="I39" i="120"/>
  <c r="I37" i="120"/>
  <c r="E36" i="120"/>
  <c r="D36" i="120"/>
  <c r="I34" i="120"/>
  <c r="F34" i="120"/>
  <c r="G34" i="120" s="1"/>
  <c r="H34" i="120" s="1"/>
  <c r="I32" i="120"/>
  <c r="F32" i="120"/>
  <c r="G32" i="120" s="1"/>
  <c r="H32" i="120" s="1"/>
  <c r="I30" i="120"/>
  <c r="J28" i="120"/>
  <c r="I28" i="120"/>
  <c r="G28" i="120"/>
  <c r="H28" i="120" s="1"/>
  <c r="J26" i="120"/>
  <c r="I26" i="120"/>
  <c r="G26" i="120"/>
  <c r="H26" i="120" s="1"/>
  <c r="J24" i="120"/>
  <c r="I24" i="120"/>
  <c r="G24" i="120"/>
  <c r="H24" i="120" s="1"/>
  <c r="J22" i="120"/>
  <c r="I22" i="120"/>
  <c r="G22" i="120"/>
  <c r="E21" i="120"/>
  <c r="D21" i="120"/>
  <c r="J19" i="120"/>
  <c r="J18" i="120" s="1"/>
  <c r="I19" i="120"/>
  <c r="I18" i="120" s="1"/>
  <c r="G19" i="120"/>
  <c r="H19" i="120" s="1"/>
  <c r="F18" i="120"/>
  <c r="E18" i="120"/>
  <c r="D18" i="120"/>
  <c r="I16" i="120"/>
  <c r="E15" i="120"/>
  <c r="D15" i="120"/>
  <c r="I13" i="120"/>
  <c r="K13" i="120" s="1"/>
  <c r="L13" i="120" s="1"/>
  <c r="M13" i="120" s="1"/>
  <c r="G13" i="120"/>
  <c r="H13" i="120" s="1"/>
  <c r="J11" i="120"/>
  <c r="J10" i="120" s="1"/>
  <c r="I11" i="120"/>
  <c r="G11" i="120"/>
  <c r="H11" i="120" s="1"/>
  <c r="F10" i="120"/>
  <c r="E10" i="120"/>
  <c r="D10" i="120"/>
  <c r="K74" i="122" l="1"/>
  <c r="L9" i="122"/>
  <c r="M9" i="122"/>
  <c r="M21" i="121"/>
  <c r="J49" i="120"/>
  <c r="J48" i="120" s="1"/>
  <c r="K26" i="120"/>
  <c r="L26" i="120" s="1"/>
  <c r="M26" i="120" s="1"/>
  <c r="G62" i="120"/>
  <c r="K39" i="120"/>
  <c r="L39" i="120" s="1"/>
  <c r="M39" i="120" s="1"/>
  <c r="K52" i="120"/>
  <c r="G18" i="120"/>
  <c r="H18" i="120" s="1"/>
  <c r="F55" i="120"/>
  <c r="F54" i="120" s="1"/>
  <c r="I55" i="120"/>
  <c r="I54" i="120" s="1"/>
  <c r="I65" i="120"/>
  <c r="I64" i="120" s="1"/>
  <c r="K72" i="120"/>
  <c r="L72" i="120" s="1"/>
  <c r="M72" i="120" s="1"/>
  <c r="L18" i="121"/>
  <c r="K66" i="120"/>
  <c r="L66" i="120" s="1"/>
  <c r="M66" i="120" s="1"/>
  <c r="I36" i="120"/>
  <c r="I41" i="120"/>
  <c r="K64" i="121"/>
  <c r="L64" i="121" s="1"/>
  <c r="M64" i="121" s="1"/>
  <c r="M49" i="121"/>
  <c r="K48" i="121"/>
  <c r="J37" i="120"/>
  <c r="K37" i="120" s="1"/>
  <c r="L55" i="121"/>
  <c r="K54" i="121"/>
  <c r="K46" i="120"/>
  <c r="L46" i="120" s="1"/>
  <c r="M46" i="120" s="1"/>
  <c r="J65" i="120"/>
  <c r="J64" i="120" s="1"/>
  <c r="K58" i="120"/>
  <c r="L58" i="120" s="1"/>
  <c r="M58" i="120" s="1"/>
  <c r="K61" i="121"/>
  <c r="K60" i="121" s="1"/>
  <c r="L60" i="121" s="1"/>
  <c r="M60" i="121" s="1"/>
  <c r="J34" i="120"/>
  <c r="K34" i="120" s="1"/>
  <c r="L34" i="120" s="1"/>
  <c r="M34" i="120" s="1"/>
  <c r="G10" i="120"/>
  <c r="H10" i="120" s="1"/>
  <c r="D9" i="120"/>
  <c r="D74" i="120" s="1"/>
  <c r="K19" i="120"/>
  <c r="K18" i="120" s="1"/>
  <c r="L18" i="120" s="1"/>
  <c r="K24" i="120"/>
  <c r="L24" i="120" s="1"/>
  <c r="M24" i="120" s="1"/>
  <c r="J56" i="120"/>
  <c r="J55" i="120" s="1"/>
  <c r="J54" i="120" s="1"/>
  <c r="L37" i="121"/>
  <c r="M37" i="121" s="1"/>
  <c r="K36" i="121"/>
  <c r="H15" i="121"/>
  <c r="G9" i="121"/>
  <c r="L44" i="121"/>
  <c r="M44" i="121" s="1"/>
  <c r="K41" i="121"/>
  <c r="I74" i="121"/>
  <c r="E9" i="121"/>
  <c r="E74" i="121" s="1"/>
  <c r="M15" i="121"/>
  <c r="L15" i="121"/>
  <c r="H55" i="121"/>
  <c r="H54" i="121" s="1"/>
  <c r="G54" i="121"/>
  <c r="I49" i="120"/>
  <c r="I48" i="120" s="1"/>
  <c r="K50" i="120"/>
  <c r="L50" i="120" s="1"/>
  <c r="M50" i="120" s="1"/>
  <c r="F36" i="120"/>
  <c r="G39" i="120"/>
  <c r="H39" i="120" s="1"/>
  <c r="F21" i="120"/>
  <c r="J30" i="120"/>
  <c r="K30" i="120" s="1"/>
  <c r="L30" i="120" s="1"/>
  <c r="M30" i="120" s="1"/>
  <c r="J32" i="120"/>
  <c r="K32" i="120" s="1"/>
  <c r="L32" i="120" s="1"/>
  <c r="M32" i="120" s="1"/>
  <c r="J16" i="120"/>
  <c r="J15" i="120" s="1"/>
  <c r="F15" i="120"/>
  <c r="H62" i="120"/>
  <c r="G61" i="120"/>
  <c r="H16" i="120"/>
  <c r="G15" i="120"/>
  <c r="H15" i="120" s="1"/>
  <c r="H22" i="120"/>
  <c r="G21" i="120"/>
  <c r="H21" i="120" s="1"/>
  <c r="G44" i="120"/>
  <c r="H44" i="120" s="1"/>
  <c r="J44" i="120"/>
  <c r="K44" i="120" s="1"/>
  <c r="L44" i="120" s="1"/>
  <c r="M44" i="120" s="1"/>
  <c r="H56" i="120"/>
  <c r="G55" i="120"/>
  <c r="K11" i="120"/>
  <c r="I10" i="120"/>
  <c r="L52" i="120"/>
  <c r="M52" i="120" s="1"/>
  <c r="G42" i="120"/>
  <c r="F41" i="120"/>
  <c r="J42" i="120"/>
  <c r="J41" i="120" s="1"/>
  <c r="I15" i="120"/>
  <c r="I21" i="120"/>
  <c r="K28" i="120"/>
  <c r="L28" i="120" s="1"/>
  <c r="M28" i="120" s="1"/>
  <c r="K22" i="120"/>
  <c r="G49" i="120"/>
  <c r="J62" i="120"/>
  <c r="J61" i="120" s="1"/>
  <c r="J60" i="120" s="1"/>
  <c r="G65" i="120"/>
  <c r="G71" i="120"/>
  <c r="K68" i="120"/>
  <c r="F34" i="119"/>
  <c r="G19" i="118"/>
  <c r="D69" i="119"/>
  <c r="D68" i="119" s="1"/>
  <c r="D63" i="119"/>
  <c r="D62" i="119" s="1"/>
  <c r="D59" i="119"/>
  <c r="D58" i="119" s="1"/>
  <c r="D53" i="119"/>
  <c r="D52" i="119" s="1"/>
  <c r="D47" i="119"/>
  <c r="D46" i="119" s="1"/>
  <c r="D39" i="119"/>
  <c r="D34" i="119"/>
  <c r="D19" i="119"/>
  <c r="D16" i="119"/>
  <c r="D13" i="119"/>
  <c r="D8" i="119"/>
  <c r="F69" i="119"/>
  <c r="F68" i="119" s="1"/>
  <c r="F59" i="119"/>
  <c r="F58" i="119" s="1"/>
  <c r="F53" i="119"/>
  <c r="F52" i="119" s="1"/>
  <c r="F47" i="119"/>
  <c r="F46" i="119" s="1"/>
  <c r="F39" i="119"/>
  <c r="F19" i="119"/>
  <c r="F16" i="119"/>
  <c r="F13" i="119"/>
  <c r="F8" i="119"/>
  <c r="M74" i="122" l="1"/>
  <c r="L74" i="122"/>
  <c r="K36" i="120"/>
  <c r="G36" i="120"/>
  <c r="H36" i="120" s="1"/>
  <c r="K49" i="120"/>
  <c r="K56" i="120"/>
  <c r="L56" i="120" s="1"/>
  <c r="M56" i="120" s="1"/>
  <c r="K71" i="120"/>
  <c r="K65" i="120"/>
  <c r="L65" i="120" s="1"/>
  <c r="M65" i="120" s="1"/>
  <c r="M18" i="120"/>
  <c r="J36" i="120"/>
  <c r="M48" i="121"/>
  <c r="L48" i="121"/>
  <c r="L37" i="120"/>
  <c r="M37" i="120" s="1"/>
  <c r="D7" i="119"/>
  <c r="D72" i="119" s="1"/>
  <c r="L19" i="120"/>
  <c r="M19" i="120" s="1"/>
  <c r="L61" i="121"/>
  <c r="M61" i="121" s="1"/>
  <c r="K55" i="120"/>
  <c r="L55" i="120" s="1"/>
  <c r="M55" i="121"/>
  <c r="M54" i="121" s="1"/>
  <c r="L54" i="121"/>
  <c r="L36" i="121"/>
  <c r="M36" i="121"/>
  <c r="H9" i="121"/>
  <c r="G74" i="121"/>
  <c r="H74" i="121" s="1"/>
  <c r="M41" i="121"/>
  <c r="L41" i="121"/>
  <c r="K9" i="121"/>
  <c r="F9" i="120"/>
  <c r="F74" i="120" s="1"/>
  <c r="K42" i="120"/>
  <c r="L42" i="120" s="1"/>
  <c r="M42" i="120" s="1"/>
  <c r="J21" i="120"/>
  <c r="I9" i="120"/>
  <c r="I74" i="120" s="1"/>
  <c r="K16" i="120"/>
  <c r="G48" i="120"/>
  <c r="H48" i="120" s="1"/>
  <c r="H49" i="120"/>
  <c r="L22" i="120"/>
  <c r="M22" i="120" s="1"/>
  <c r="K21" i="120"/>
  <c r="H55" i="120"/>
  <c r="H54" i="120" s="1"/>
  <c r="G54" i="120"/>
  <c r="M49" i="120"/>
  <c r="L49" i="120"/>
  <c r="K48" i="120"/>
  <c r="L71" i="120"/>
  <c r="M71" i="120" s="1"/>
  <c r="K70" i="120"/>
  <c r="L70" i="120" s="1"/>
  <c r="M70" i="120" s="1"/>
  <c r="M36" i="120"/>
  <c r="L36" i="120"/>
  <c r="H42" i="120"/>
  <c r="G41" i="120"/>
  <c r="G9" i="120" s="1"/>
  <c r="H61" i="120"/>
  <c r="G60" i="120"/>
  <c r="H60" i="120" s="1"/>
  <c r="G70" i="120"/>
  <c r="H70" i="120" s="1"/>
  <c r="H71" i="120"/>
  <c r="K62" i="120"/>
  <c r="K10" i="120"/>
  <c r="L11" i="120"/>
  <c r="M11" i="120" s="1"/>
  <c r="G64" i="120"/>
  <c r="H64" i="120" s="1"/>
  <c r="H65" i="120"/>
  <c r="F7" i="119"/>
  <c r="F24" i="118"/>
  <c r="K64" i="120" l="1"/>
  <c r="L64" i="120" s="1"/>
  <c r="M64" i="120" s="1"/>
  <c r="J9" i="120"/>
  <c r="J74" i="120" s="1"/>
  <c r="K54" i="120"/>
  <c r="K74" i="121"/>
  <c r="L9" i="121"/>
  <c r="M9" i="121"/>
  <c r="K41" i="120"/>
  <c r="M41" i="120" s="1"/>
  <c r="E9" i="120"/>
  <c r="E74" i="120" s="1"/>
  <c r="K15" i="120"/>
  <c r="L16" i="120"/>
  <c r="M16" i="120" s="1"/>
  <c r="G74" i="120"/>
  <c r="H74" i="120" s="1"/>
  <c r="H9" i="120"/>
  <c r="L62" i="120"/>
  <c r="M62" i="120" s="1"/>
  <c r="K61" i="120"/>
  <c r="M21" i="120"/>
  <c r="L21" i="120"/>
  <c r="L54" i="120"/>
  <c r="M55" i="120"/>
  <c r="M54" i="120" s="1"/>
  <c r="M10" i="120"/>
  <c r="L10" i="120"/>
  <c r="M48" i="120"/>
  <c r="L48" i="120"/>
  <c r="F62" i="118"/>
  <c r="G62" i="118" s="1"/>
  <c r="F44" i="118"/>
  <c r="G44" i="118" s="1"/>
  <c r="H44" i="118" s="1"/>
  <c r="F42" i="118"/>
  <c r="G42" i="118" s="1"/>
  <c r="F39" i="118"/>
  <c r="J39" i="118" s="1"/>
  <c r="F37" i="118"/>
  <c r="J37" i="118" s="1"/>
  <c r="F30" i="118"/>
  <c r="J30" i="118" s="1"/>
  <c r="F16" i="118"/>
  <c r="J16" i="118" s="1"/>
  <c r="J15" i="118" s="1"/>
  <c r="J52" i="118"/>
  <c r="F32" i="118"/>
  <c r="J32" i="118" s="1"/>
  <c r="G28" i="118"/>
  <c r="H28" i="118" s="1"/>
  <c r="J26" i="118"/>
  <c r="J72" i="118"/>
  <c r="J71" i="118" s="1"/>
  <c r="J70" i="118" s="1"/>
  <c r="I72" i="118"/>
  <c r="G72" i="118"/>
  <c r="H72" i="118" s="1"/>
  <c r="F71" i="118"/>
  <c r="F70" i="118" s="1"/>
  <c r="E71" i="118"/>
  <c r="E70" i="118" s="1"/>
  <c r="D71" i="118"/>
  <c r="D70" i="118" s="1"/>
  <c r="M68" i="118"/>
  <c r="J68" i="118"/>
  <c r="I68" i="118"/>
  <c r="G68" i="118"/>
  <c r="J66" i="118"/>
  <c r="I66" i="118"/>
  <c r="K66" i="118" s="1"/>
  <c r="G66" i="118"/>
  <c r="H66" i="118" s="1"/>
  <c r="F65" i="118"/>
  <c r="F64" i="118" s="1"/>
  <c r="E65" i="118"/>
  <c r="E64" i="118" s="1"/>
  <c r="D65" i="118"/>
  <c r="D64" i="118" s="1"/>
  <c r="I62" i="118"/>
  <c r="I61" i="118" s="1"/>
  <c r="I60" i="118" s="1"/>
  <c r="E61" i="118"/>
  <c r="D61" i="118"/>
  <c r="D60" i="118" s="1"/>
  <c r="E60" i="118"/>
  <c r="J58" i="118"/>
  <c r="I58" i="118"/>
  <c r="G58" i="118"/>
  <c r="H58" i="118" s="1"/>
  <c r="I56" i="118"/>
  <c r="F56" i="118"/>
  <c r="J56" i="118" s="1"/>
  <c r="E55" i="118"/>
  <c r="E54" i="118" s="1"/>
  <c r="D55" i="118"/>
  <c r="D54" i="118" s="1"/>
  <c r="I52" i="118"/>
  <c r="H52" i="118"/>
  <c r="J50" i="118"/>
  <c r="I50" i="118"/>
  <c r="G50" i="118"/>
  <c r="G49" i="118" s="1"/>
  <c r="F49" i="118"/>
  <c r="F48" i="118" s="1"/>
  <c r="E49" i="118"/>
  <c r="E48" i="118" s="1"/>
  <c r="D49" i="118"/>
  <c r="D48" i="118" s="1"/>
  <c r="J46" i="118"/>
  <c r="I46" i="118"/>
  <c r="G46" i="118"/>
  <c r="H46" i="118" s="1"/>
  <c r="I44" i="118"/>
  <c r="I42" i="118"/>
  <c r="E41" i="118"/>
  <c r="D41" i="118"/>
  <c r="I39" i="118"/>
  <c r="I37" i="118"/>
  <c r="E36" i="118"/>
  <c r="D36" i="118"/>
  <c r="I34" i="118"/>
  <c r="F34" i="118"/>
  <c r="G34" i="118" s="1"/>
  <c r="H34" i="118" s="1"/>
  <c r="I32" i="118"/>
  <c r="I30" i="118"/>
  <c r="I28" i="118"/>
  <c r="I26" i="118"/>
  <c r="G26" i="118"/>
  <c r="H26" i="118" s="1"/>
  <c r="I24" i="118"/>
  <c r="G24" i="118"/>
  <c r="H24" i="118" s="1"/>
  <c r="J22" i="118"/>
  <c r="I22" i="118"/>
  <c r="G22" i="118"/>
  <c r="E21" i="118"/>
  <c r="D21" i="118"/>
  <c r="J19" i="118"/>
  <c r="J18" i="118" s="1"/>
  <c r="I19" i="118"/>
  <c r="G18" i="118"/>
  <c r="F18" i="118"/>
  <c r="E18" i="118"/>
  <c r="D18" i="118"/>
  <c r="I16" i="118"/>
  <c r="E15" i="118"/>
  <c r="D15" i="118"/>
  <c r="I13" i="118"/>
  <c r="K13" i="118" s="1"/>
  <c r="L13" i="118" s="1"/>
  <c r="M13" i="118" s="1"/>
  <c r="G13" i="118"/>
  <c r="H13" i="118" s="1"/>
  <c r="J11" i="118"/>
  <c r="J10" i="118" s="1"/>
  <c r="I11" i="118"/>
  <c r="G11" i="118"/>
  <c r="H11" i="118" s="1"/>
  <c r="F10" i="118"/>
  <c r="E10" i="118"/>
  <c r="D10" i="118"/>
  <c r="K9" i="120" l="1"/>
  <c r="I55" i="118"/>
  <c r="I54" i="118" s="1"/>
  <c r="J44" i="118"/>
  <c r="K44" i="118" s="1"/>
  <c r="L44" i="118" s="1"/>
  <c r="M44" i="118" s="1"/>
  <c r="D9" i="118"/>
  <c r="I36" i="118"/>
  <c r="K46" i="118"/>
  <c r="L46" i="118" s="1"/>
  <c r="M46" i="118" s="1"/>
  <c r="G10" i="118"/>
  <c r="H18" i="118"/>
  <c r="K68" i="118"/>
  <c r="K65" i="118" s="1"/>
  <c r="L41" i="120"/>
  <c r="G16" i="118"/>
  <c r="H16" i="118" s="1"/>
  <c r="J65" i="118"/>
  <c r="J64" i="118" s="1"/>
  <c r="K16" i="118"/>
  <c r="L16" i="118" s="1"/>
  <c r="M16" i="118" s="1"/>
  <c r="F15" i="118"/>
  <c r="I10" i="118"/>
  <c r="K50" i="118"/>
  <c r="L50" i="118" s="1"/>
  <c r="M50" i="118" s="1"/>
  <c r="M74" i="121"/>
  <c r="L74" i="121"/>
  <c r="M15" i="120"/>
  <c r="L15" i="120"/>
  <c r="K60" i="120"/>
  <c r="L60" i="120" s="1"/>
  <c r="M60" i="120" s="1"/>
  <c r="L61" i="120"/>
  <c r="M61" i="120" s="1"/>
  <c r="L9" i="120"/>
  <c r="M9" i="120"/>
  <c r="K22" i="118"/>
  <c r="L22" i="118" s="1"/>
  <c r="M22" i="118" s="1"/>
  <c r="J36" i="118"/>
  <c r="K72" i="118"/>
  <c r="L72" i="118" s="1"/>
  <c r="M72" i="118" s="1"/>
  <c r="J62" i="118"/>
  <c r="J61" i="118" s="1"/>
  <c r="J60" i="118" s="1"/>
  <c r="F61" i="118"/>
  <c r="F60" i="118" s="1"/>
  <c r="K58" i="118"/>
  <c r="L58" i="118" s="1"/>
  <c r="M58" i="118" s="1"/>
  <c r="J49" i="118"/>
  <c r="J48" i="118" s="1"/>
  <c r="K52" i="118"/>
  <c r="L52" i="118" s="1"/>
  <c r="M52" i="118" s="1"/>
  <c r="G39" i="118"/>
  <c r="H39" i="118" s="1"/>
  <c r="G37" i="118"/>
  <c r="F36" i="118"/>
  <c r="K37" i="118"/>
  <c r="L37" i="118" s="1"/>
  <c r="M37" i="118" s="1"/>
  <c r="K39" i="118"/>
  <c r="L39" i="118" s="1"/>
  <c r="M39" i="118" s="1"/>
  <c r="K32" i="118"/>
  <c r="L32" i="118" s="1"/>
  <c r="M32" i="118" s="1"/>
  <c r="G32" i="118"/>
  <c r="H32" i="118" s="1"/>
  <c r="J28" i="118"/>
  <c r="K28" i="118" s="1"/>
  <c r="L28" i="118" s="1"/>
  <c r="M28" i="118" s="1"/>
  <c r="K26" i="118"/>
  <c r="L26" i="118" s="1"/>
  <c r="M26" i="118" s="1"/>
  <c r="G30" i="118"/>
  <c r="H30" i="118" s="1"/>
  <c r="K30" i="118"/>
  <c r="L30" i="118" s="1"/>
  <c r="M30" i="118" s="1"/>
  <c r="J34" i="118"/>
  <c r="K34" i="118" s="1"/>
  <c r="L34" i="118" s="1"/>
  <c r="M34" i="118" s="1"/>
  <c r="K19" i="118"/>
  <c r="K18" i="118" s="1"/>
  <c r="I15" i="118"/>
  <c r="H10" i="118"/>
  <c r="H62" i="118"/>
  <c r="G61" i="118"/>
  <c r="L66" i="118"/>
  <c r="M66" i="118" s="1"/>
  <c r="K56" i="118"/>
  <c r="J55" i="118"/>
  <c r="J54" i="118" s="1"/>
  <c r="G48" i="118"/>
  <c r="H48" i="118" s="1"/>
  <c r="H49" i="118"/>
  <c r="D74" i="118"/>
  <c r="G41" i="118"/>
  <c r="H42" i="118"/>
  <c r="H22" i="118"/>
  <c r="K11" i="118"/>
  <c r="I18" i="118"/>
  <c r="I41" i="118"/>
  <c r="H50" i="118"/>
  <c r="H19" i="118"/>
  <c r="G71" i="118"/>
  <c r="I49" i="118"/>
  <c r="I48" i="118" s="1"/>
  <c r="G56" i="118"/>
  <c r="I65" i="118"/>
  <c r="I64" i="118" s="1"/>
  <c r="I71" i="118"/>
  <c r="I70" i="118" s="1"/>
  <c r="I21" i="118"/>
  <c r="J24" i="118"/>
  <c r="K24" i="118" s="1"/>
  <c r="J42" i="118"/>
  <c r="J41" i="118" s="1"/>
  <c r="F55" i="118"/>
  <c r="F54" i="118" s="1"/>
  <c r="G65" i="118"/>
  <c r="F21" i="118"/>
  <c r="F41" i="118"/>
  <c r="F24" i="117"/>
  <c r="K71" i="118" l="1"/>
  <c r="K70" i="118" s="1"/>
  <c r="L70" i="118" s="1"/>
  <c r="M70" i="118" s="1"/>
  <c r="K15" i="118"/>
  <c r="L15" i="118" s="1"/>
  <c r="G15" i="118"/>
  <c r="H15" i="118" s="1"/>
  <c r="K74" i="120"/>
  <c r="L74" i="120" s="1"/>
  <c r="K36" i="118"/>
  <c r="L36" i="118" s="1"/>
  <c r="G21" i="118"/>
  <c r="H21" i="118" s="1"/>
  <c r="K62" i="118"/>
  <c r="K49" i="118"/>
  <c r="M49" i="118" s="1"/>
  <c r="H37" i="118"/>
  <c r="G36" i="118"/>
  <c r="H36" i="118" s="1"/>
  <c r="L19" i="118"/>
  <c r="M19" i="118" s="1"/>
  <c r="I9" i="118"/>
  <c r="E9" i="118" s="1"/>
  <c r="E74" i="118" s="1"/>
  <c r="F9" i="118"/>
  <c r="F74" i="118" s="1"/>
  <c r="L24" i="118"/>
  <c r="M24" i="118" s="1"/>
  <c r="K21" i="118"/>
  <c r="J21" i="118"/>
  <c r="J9" i="118" s="1"/>
  <c r="J74" i="118" s="1"/>
  <c r="K42" i="118"/>
  <c r="L65" i="118"/>
  <c r="M65" i="118" s="1"/>
  <c r="K64" i="118"/>
  <c r="L64" i="118" s="1"/>
  <c r="M64" i="118" s="1"/>
  <c r="M15" i="118"/>
  <c r="L11" i="118"/>
  <c r="M11" i="118" s="1"/>
  <c r="K10" i="118"/>
  <c r="K55" i="118"/>
  <c r="L56" i="118"/>
  <c r="M56" i="118" s="1"/>
  <c r="M18" i="118"/>
  <c r="L18" i="118"/>
  <c r="H56" i="118"/>
  <c r="G55" i="118"/>
  <c r="H65" i="118"/>
  <c r="G64" i="118"/>
  <c r="H64" i="118" s="1"/>
  <c r="H71" i="118"/>
  <c r="G70" i="118"/>
  <c r="H70" i="118" s="1"/>
  <c r="H61" i="118"/>
  <c r="G60" i="118"/>
  <c r="H60" i="118" s="1"/>
  <c r="F42" i="117"/>
  <c r="F62" i="117"/>
  <c r="J62" i="117" s="1"/>
  <c r="F39" i="117"/>
  <c r="J39" i="117" s="1"/>
  <c r="F37" i="117"/>
  <c r="J37" i="117" s="1"/>
  <c r="F34" i="117"/>
  <c r="J34" i="117" s="1"/>
  <c r="F30" i="117"/>
  <c r="G30" i="117" s="1"/>
  <c r="H30" i="117" s="1"/>
  <c r="F16" i="117"/>
  <c r="F15" i="117" s="1"/>
  <c r="J72" i="117"/>
  <c r="J71" i="117" s="1"/>
  <c r="J70" i="117" s="1"/>
  <c r="I72" i="117"/>
  <c r="G72" i="117"/>
  <c r="G71" i="117" s="1"/>
  <c r="G70" i="117" s="1"/>
  <c r="F71" i="117"/>
  <c r="F70" i="117" s="1"/>
  <c r="E71" i="117"/>
  <c r="E70" i="117" s="1"/>
  <c r="D71" i="117"/>
  <c r="D70" i="117" s="1"/>
  <c r="J68" i="117"/>
  <c r="I68" i="117"/>
  <c r="G68" i="117"/>
  <c r="J66" i="117"/>
  <c r="I66" i="117"/>
  <c r="G66" i="117"/>
  <c r="H66" i="117" s="1"/>
  <c r="F65" i="117"/>
  <c r="F64" i="117" s="1"/>
  <c r="E65" i="117"/>
  <c r="E64" i="117" s="1"/>
  <c r="D65" i="117"/>
  <c r="D64" i="117" s="1"/>
  <c r="I62" i="117"/>
  <c r="I61" i="117" s="1"/>
  <c r="I60" i="117" s="1"/>
  <c r="E61" i="117"/>
  <c r="E60" i="117" s="1"/>
  <c r="D61" i="117"/>
  <c r="D60" i="117" s="1"/>
  <c r="J58" i="117"/>
  <c r="I58" i="117"/>
  <c r="G58" i="117"/>
  <c r="H58" i="117" s="1"/>
  <c r="I56" i="117"/>
  <c r="F56" i="117"/>
  <c r="G56" i="117" s="1"/>
  <c r="E55" i="117"/>
  <c r="E54" i="117" s="1"/>
  <c r="D55" i="117"/>
  <c r="D54" i="117" s="1"/>
  <c r="J52" i="117"/>
  <c r="I52" i="117"/>
  <c r="G52" i="117"/>
  <c r="H52" i="117" s="1"/>
  <c r="J50" i="117"/>
  <c r="I50" i="117"/>
  <c r="G50" i="117"/>
  <c r="H50" i="117" s="1"/>
  <c r="F49" i="117"/>
  <c r="F48" i="117" s="1"/>
  <c r="E49" i="117"/>
  <c r="E48" i="117" s="1"/>
  <c r="D49" i="117"/>
  <c r="D48" i="117" s="1"/>
  <c r="J46" i="117"/>
  <c r="I46" i="117"/>
  <c r="G46" i="117"/>
  <c r="H46" i="117" s="1"/>
  <c r="J44" i="117"/>
  <c r="I44" i="117"/>
  <c r="G44" i="117"/>
  <c r="H44" i="117" s="1"/>
  <c r="I42" i="117"/>
  <c r="E41" i="117"/>
  <c r="D41" i="117"/>
  <c r="I39" i="117"/>
  <c r="I37" i="117"/>
  <c r="E36" i="117"/>
  <c r="D36" i="117"/>
  <c r="I34" i="117"/>
  <c r="J32" i="117"/>
  <c r="I32" i="117"/>
  <c r="G32" i="117"/>
  <c r="H32" i="117" s="1"/>
  <c r="I30" i="117"/>
  <c r="J28" i="117"/>
  <c r="I28" i="117"/>
  <c r="G28" i="117"/>
  <c r="J26" i="117"/>
  <c r="I26" i="117"/>
  <c r="G26" i="117"/>
  <c r="H26" i="117" s="1"/>
  <c r="J24" i="117"/>
  <c r="I24" i="117"/>
  <c r="G24" i="117"/>
  <c r="H24" i="117" s="1"/>
  <c r="J22" i="117"/>
  <c r="I22" i="117"/>
  <c r="G22" i="117"/>
  <c r="H22" i="117" s="1"/>
  <c r="E21" i="117"/>
  <c r="D21" i="117"/>
  <c r="J19" i="117"/>
  <c r="J18" i="117" s="1"/>
  <c r="I19" i="117"/>
  <c r="I18" i="117" s="1"/>
  <c r="G19" i="117"/>
  <c r="H19" i="117" s="1"/>
  <c r="F18" i="117"/>
  <c r="E18" i="117"/>
  <c r="D18" i="117"/>
  <c r="I16" i="117"/>
  <c r="I15" i="117" s="1"/>
  <c r="E15" i="117"/>
  <c r="D15" i="117"/>
  <c r="I13" i="117"/>
  <c r="G13" i="117"/>
  <c r="H13" i="117" s="1"/>
  <c r="J11" i="117"/>
  <c r="I11" i="117"/>
  <c r="G11" i="117"/>
  <c r="H11" i="117" s="1"/>
  <c r="F10" i="117"/>
  <c r="E10" i="117"/>
  <c r="D10" i="117"/>
  <c r="L71" i="118" l="1"/>
  <c r="M71" i="118" s="1"/>
  <c r="K68" i="117"/>
  <c r="F55" i="117"/>
  <c r="F54" i="117" s="1"/>
  <c r="G65" i="117"/>
  <c r="H65" i="117" s="1"/>
  <c r="K50" i="117"/>
  <c r="L50" i="117" s="1"/>
  <c r="M50" i="117" s="1"/>
  <c r="K48" i="118"/>
  <c r="M48" i="118" s="1"/>
  <c r="G39" i="117"/>
  <c r="H39" i="117" s="1"/>
  <c r="M74" i="120"/>
  <c r="K11" i="117"/>
  <c r="L11" i="117" s="1"/>
  <c r="M11" i="117" s="1"/>
  <c r="I55" i="117"/>
  <c r="I54" i="117" s="1"/>
  <c r="I10" i="117"/>
  <c r="K26" i="117"/>
  <c r="L26" i="117" s="1"/>
  <c r="M26" i="117" s="1"/>
  <c r="I65" i="117"/>
  <c r="I64" i="117" s="1"/>
  <c r="J65" i="117"/>
  <c r="J64" i="117" s="1"/>
  <c r="K24" i="117"/>
  <c r="L24" i="117" s="1"/>
  <c r="M24" i="117" s="1"/>
  <c r="K66" i="117"/>
  <c r="L66" i="117" s="1"/>
  <c r="M66" i="117" s="1"/>
  <c r="K13" i="117"/>
  <c r="L13" i="117" s="1"/>
  <c r="M13" i="117" s="1"/>
  <c r="K28" i="117"/>
  <c r="L28" i="117" s="1"/>
  <c r="M28" i="117" s="1"/>
  <c r="K58" i="117"/>
  <c r="L58" i="117" s="1"/>
  <c r="M58" i="117" s="1"/>
  <c r="K52" i="117"/>
  <c r="L52" i="117" s="1"/>
  <c r="M52" i="117" s="1"/>
  <c r="M36" i="118"/>
  <c r="J56" i="117"/>
  <c r="J55" i="117" s="1"/>
  <c r="J54" i="117" s="1"/>
  <c r="G34" i="117"/>
  <c r="H34" i="117" s="1"/>
  <c r="I36" i="117"/>
  <c r="K46" i="117"/>
  <c r="L46" i="117" s="1"/>
  <c r="M46" i="117" s="1"/>
  <c r="I49" i="117"/>
  <c r="I48" i="117" s="1"/>
  <c r="L49" i="118"/>
  <c r="G9" i="118"/>
  <c r="H9" i="118" s="1"/>
  <c r="L62" i="118"/>
  <c r="M62" i="118" s="1"/>
  <c r="K61" i="118"/>
  <c r="I74" i="118"/>
  <c r="L42" i="118"/>
  <c r="M42" i="118" s="1"/>
  <c r="K41" i="118"/>
  <c r="K54" i="118"/>
  <c r="L55" i="118"/>
  <c r="L10" i="118"/>
  <c r="M10" i="118"/>
  <c r="H55" i="118"/>
  <c r="H54" i="118" s="1"/>
  <c r="G54" i="118"/>
  <c r="L48" i="118"/>
  <c r="L21" i="118"/>
  <c r="M21" i="118"/>
  <c r="M68" i="117"/>
  <c r="H71" i="117"/>
  <c r="H72" i="117"/>
  <c r="J49" i="117"/>
  <c r="J48" i="117" s="1"/>
  <c r="H70" i="117"/>
  <c r="D9" i="117"/>
  <c r="D74" i="117" s="1"/>
  <c r="K34" i="117"/>
  <c r="L34" i="117" s="1"/>
  <c r="M34" i="117" s="1"/>
  <c r="K32" i="117"/>
  <c r="L32" i="117" s="1"/>
  <c r="M32" i="117" s="1"/>
  <c r="K19" i="117"/>
  <c r="L19" i="117" s="1"/>
  <c r="M19" i="117" s="1"/>
  <c r="F61" i="117"/>
  <c r="F60" i="117" s="1"/>
  <c r="I41" i="117"/>
  <c r="K44" i="117"/>
  <c r="L44" i="117" s="1"/>
  <c r="M44" i="117" s="1"/>
  <c r="K39" i="117"/>
  <c r="L39" i="117" s="1"/>
  <c r="M39" i="117" s="1"/>
  <c r="H28" i="117"/>
  <c r="G37" i="117"/>
  <c r="J16" i="117"/>
  <c r="G16" i="117"/>
  <c r="K62" i="117"/>
  <c r="J61" i="117"/>
  <c r="J60" i="117" s="1"/>
  <c r="K22" i="117"/>
  <c r="F36" i="117"/>
  <c r="J42" i="117"/>
  <c r="G42" i="117"/>
  <c r="F41" i="117"/>
  <c r="G62" i="117"/>
  <c r="K37" i="117"/>
  <c r="J36" i="117"/>
  <c r="I21" i="117"/>
  <c r="G55" i="117"/>
  <c r="H56" i="117"/>
  <c r="I71" i="117"/>
  <c r="I70" i="117" s="1"/>
  <c r="K72" i="117"/>
  <c r="J30" i="117"/>
  <c r="K30" i="117" s="1"/>
  <c r="L30" i="117" s="1"/>
  <c r="M30" i="117" s="1"/>
  <c r="F21" i="117"/>
  <c r="G10" i="117"/>
  <c r="G64" i="117"/>
  <c r="H64" i="117" s="1"/>
  <c r="G18" i="117"/>
  <c r="H18" i="117" s="1"/>
  <c r="G49" i="117"/>
  <c r="J10" i="117"/>
  <c r="F69" i="116"/>
  <c r="F68" i="116" s="1"/>
  <c r="D69" i="116"/>
  <c r="D68" i="116" s="1"/>
  <c r="D63" i="116"/>
  <c r="D62" i="116" s="1"/>
  <c r="D59" i="116"/>
  <c r="G58" i="116"/>
  <c r="D58" i="116"/>
  <c r="D53" i="116"/>
  <c r="D52" i="116" s="1"/>
  <c r="F47" i="116"/>
  <c r="F46" i="116" s="1"/>
  <c r="D47" i="116"/>
  <c r="D46" i="116" s="1"/>
  <c r="D39" i="116"/>
  <c r="D34" i="116"/>
  <c r="D19" i="116"/>
  <c r="F16" i="116"/>
  <c r="D16" i="116"/>
  <c r="G13" i="116"/>
  <c r="D13" i="116"/>
  <c r="F8" i="116"/>
  <c r="D8" i="116"/>
  <c r="I9" i="117" l="1"/>
  <c r="K10" i="117"/>
  <c r="G21" i="117"/>
  <c r="H21" i="117" s="1"/>
  <c r="K56" i="117"/>
  <c r="L56" i="117" s="1"/>
  <c r="M56" i="117" s="1"/>
  <c r="K18" i="117"/>
  <c r="L18" i="117" s="1"/>
  <c r="K49" i="117"/>
  <c r="D7" i="116"/>
  <c r="D72" i="116" s="1"/>
  <c r="K65" i="117"/>
  <c r="G74" i="118"/>
  <c r="H74" i="118" s="1"/>
  <c r="L61" i="118"/>
  <c r="M61" i="118" s="1"/>
  <c r="K60" i="118"/>
  <c r="L60" i="118" s="1"/>
  <c r="M60" i="118" s="1"/>
  <c r="L54" i="118"/>
  <c r="M55" i="118"/>
  <c r="M54" i="118" s="1"/>
  <c r="M41" i="118"/>
  <c r="L41" i="118"/>
  <c r="K9" i="118"/>
  <c r="F9" i="117"/>
  <c r="F74" i="117" s="1"/>
  <c r="I74" i="117"/>
  <c r="E9" i="117"/>
  <c r="E74" i="117" s="1"/>
  <c r="H62" i="117"/>
  <c r="G61" i="117"/>
  <c r="M10" i="117"/>
  <c r="L10" i="117"/>
  <c r="L37" i="117"/>
  <c r="M37" i="117" s="1"/>
  <c r="K36" i="117"/>
  <c r="L72" i="117"/>
  <c r="M72" i="117" s="1"/>
  <c r="K71" i="117"/>
  <c r="H49" i="117"/>
  <c r="G48" i="117"/>
  <c r="H48" i="117" s="1"/>
  <c r="H42" i="117"/>
  <c r="G41" i="117"/>
  <c r="G54" i="117"/>
  <c r="H55" i="117"/>
  <c r="H54" i="117" s="1"/>
  <c r="L62" i="117"/>
  <c r="M62" i="117" s="1"/>
  <c r="K61" i="117"/>
  <c r="K42" i="117"/>
  <c r="J41" i="117"/>
  <c r="J21" i="117"/>
  <c r="H16" i="117"/>
  <c r="G15" i="117"/>
  <c r="H15" i="117" s="1"/>
  <c r="K16" i="117"/>
  <c r="J15" i="117"/>
  <c r="H10" i="117"/>
  <c r="L22" i="117"/>
  <c r="M22" i="117" s="1"/>
  <c r="K21" i="117"/>
  <c r="K55" i="117"/>
  <c r="H37" i="117"/>
  <c r="G36" i="117"/>
  <c r="H36" i="117" s="1"/>
  <c r="F42" i="115"/>
  <c r="J42" i="115" s="1"/>
  <c r="F39" i="115"/>
  <c r="F37" i="115"/>
  <c r="J37" i="115" s="1"/>
  <c r="F30" i="115"/>
  <c r="G30" i="115" s="1"/>
  <c r="F16" i="115"/>
  <c r="F15" i="115" s="1"/>
  <c r="F62" i="115"/>
  <c r="G62" i="115" s="1"/>
  <c r="J72" i="115"/>
  <c r="I72" i="115"/>
  <c r="I71" i="115" s="1"/>
  <c r="I70" i="115" s="1"/>
  <c r="G72" i="115"/>
  <c r="H72" i="115" s="1"/>
  <c r="F71" i="115"/>
  <c r="F70" i="115" s="1"/>
  <c r="E71" i="115"/>
  <c r="E70" i="115" s="1"/>
  <c r="D71" i="115"/>
  <c r="D70" i="115" s="1"/>
  <c r="J68" i="115"/>
  <c r="I68" i="115"/>
  <c r="G68" i="115"/>
  <c r="J66" i="115"/>
  <c r="I66" i="115"/>
  <c r="G66" i="115"/>
  <c r="H66" i="115" s="1"/>
  <c r="F65" i="115"/>
  <c r="F64" i="115" s="1"/>
  <c r="E65" i="115"/>
  <c r="E64" i="115" s="1"/>
  <c r="D65" i="115"/>
  <c r="D64" i="115" s="1"/>
  <c r="I62" i="115"/>
  <c r="E61" i="115"/>
  <c r="E60" i="115" s="1"/>
  <c r="D61" i="115"/>
  <c r="D60" i="115" s="1"/>
  <c r="J58" i="115"/>
  <c r="I58" i="115"/>
  <c r="G58" i="115"/>
  <c r="I56" i="115"/>
  <c r="F56" i="115"/>
  <c r="G56" i="115" s="1"/>
  <c r="F54" i="116" s="1"/>
  <c r="E55" i="115"/>
  <c r="E54" i="115" s="1"/>
  <c r="D55" i="115"/>
  <c r="D54" i="115" s="1"/>
  <c r="J52" i="115"/>
  <c r="I52" i="115"/>
  <c r="G52" i="115"/>
  <c r="J50" i="115"/>
  <c r="J49" i="115" s="1"/>
  <c r="J48" i="115" s="1"/>
  <c r="I50" i="115"/>
  <c r="G50" i="115"/>
  <c r="H50" i="115" s="1"/>
  <c r="F49" i="115"/>
  <c r="F48" i="115" s="1"/>
  <c r="E49" i="115"/>
  <c r="E48" i="115" s="1"/>
  <c r="D49" i="115"/>
  <c r="D48" i="115" s="1"/>
  <c r="J46" i="115"/>
  <c r="I46" i="115"/>
  <c r="G46" i="115"/>
  <c r="F44" i="116" s="1"/>
  <c r="J44" i="115"/>
  <c r="I44" i="115"/>
  <c r="G44" i="115"/>
  <c r="I42" i="115"/>
  <c r="E41" i="115"/>
  <c r="D41" i="115"/>
  <c r="I39" i="115"/>
  <c r="J39" i="115"/>
  <c r="I37" i="115"/>
  <c r="E36" i="115"/>
  <c r="D36" i="115"/>
  <c r="J34" i="115"/>
  <c r="I34" i="115"/>
  <c r="G34" i="115"/>
  <c r="J32" i="115"/>
  <c r="I32" i="115"/>
  <c r="G32" i="115"/>
  <c r="I30" i="115"/>
  <c r="J28" i="115"/>
  <c r="I28" i="115"/>
  <c r="G28" i="115"/>
  <c r="F26" i="116" s="1"/>
  <c r="J26" i="115"/>
  <c r="I26" i="115"/>
  <c r="G26" i="115"/>
  <c r="J24" i="115"/>
  <c r="I24" i="115"/>
  <c r="G24" i="115"/>
  <c r="J22" i="115"/>
  <c r="I22" i="115"/>
  <c r="G22" i="115"/>
  <c r="F20" i="116" s="1"/>
  <c r="F21" i="115"/>
  <c r="E21" i="115"/>
  <c r="D21" i="115"/>
  <c r="J19" i="115"/>
  <c r="J18" i="115" s="1"/>
  <c r="I19" i="115"/>
  <c r="I18" i="115" s="1"/>
  <c r="G19" i="115"/>
  <c r="H19" i="115" s="1"/>
  <c r="F18" i="115"/>
  <c r="E18" i="115"/>
  <c r="D18" i="115"/>
  <c r="I16" i="115"/>
  <c r="I15" i="115" s="1"/>
  <c r="E15" i="115"/>
  <c r="D15" i="115"/>
  <c r="I13" i="115"/>
  <c r="K13" i="115" s="1"/>
  <c r="L13" i="115" s="1"/>
  <c r="M13" i="115" s="1"/>
  <c r="G13" i="115"/>
  <c r="J11" i="115"/>
  <c r="J10" i="115" s="1"/>
  <c r="I11" i="115"/>
  <c r="G11" i="115"/>
  <c r="H11" i="115" s="1"/>
  <c r="F10" i="115"/>
  <c r="E10" i="115"/>
  <c r="D10" i="115"/>
  <c r="F41" i="115" l="1"/>
  <c r="G42" i="115"/>
  <c r="K34" i="115"/>
  <c r="L34" i="115" s="1"/>
  <c r="M34" i="115" s="1"/>
  <c r="F55" i="115"/>
  <c r="F54" i="115" s="1"/>
  <c r="K68" i="115"/>
  <c r="L68" i="115" s="1"/>
  <c r="M68" i="115" s="1"/>
  <c r="K28" i="115"/>
  <c r="L28" i="115" s="1"/>
  <c r="M28" i="115" s="1"/>
  <c r="K52" i="115"/>
  <c r="L52" i="115" s="1"/>
  <c r="M52" i="115" s="1"/>
  <c r="K24" i="115"/>
  <c r="L24" i="115" s="1"/>
  <c r="M24" i="115" s="1"/>
  <c r="M18" i="117"/>
  <c r="K58" i="115"/>
  <c r="L58" i="115" s="1"/>
  <c r="M58" i="115" s="1"/>
  <c r="G71" i="115"/>
  <c r="G70" i="115" s="1"/>
  <c r="H70" i="115" s="1"/>
  <c r="J41" i="115"/>
  <c r="G10" i="115"/>
  <c r="G49" i="115"/>
  <c r="H49" i="115" s="1"/>
  <c r="K32" i="115"/>
  <c r="L32" i="115" s="1"/>
  <c r="M32" i="115" s="1"/>
  <c r="I36" i="115"/>
  <c r="H30" i="115"/>
  <c r="F28" i="116"/>
  <c r="J56" i="115"/>
  <c r="J55" i="115" s="1"/>
  <c r="J54" i="115" s="1"/>
  <c r="F66" i="119"/>
  <c r="F66" i="116"/>
  <c r="H34" i="115"/>
  <c r="F32" i="116"/>
  <c r="H44" i="115"/>
  <c r="F42" i="116"/>
  <c r="K50" i="115"/>
  <c r="L50" i="115" s="1"/>
  <c r="M50" i="115" s="1"/>
  <c r="K26" i="115"/>
  <c r="L26" i="115" s="1"/>
  <c r="M26" i="115" s="1"/>
  <c r="J30" i="115"/>
  <c r="K30" i="115" s="1"/>
  <c r="L30" i="115" s="1"/>
  <c r="M30" i="115" s="1"/>
  <c r="H46" i="115"/>
  <c r="H58" i="115"/>
  <c r="F56" i="116"/>
  <c r="F53" i="116" s="1"/>
  <c r="F52" i="116" s="1"/>
  <c r="L65" i="117"/>
  <c r="M65" i="117" s="1"/>
  <c r="K64" i="117"/>
  <c r="L64" i="117" s="1"/>
  <c r="M64" i="117" s="1"/>
  <c r="K11" i="115"/>
  <c r="L11" i="115" s="1"/>
  <c r="M11" i="115" s="1"/>
  <c r="H68" i="115"/>
  <c r="K44" i="115"/>
  <c r="L44" i="115" s="1"/>
  <c r="M44" i="115" s="1"/>
  <c r="H22" i="115"/>
  <c r="F64" i="119"/>
  <c r="F64" i="116"/>
  <c r="H32" i="115"/>
  <c r="F30" i="116"/>
  <c r="G41" i="115"/>
  <c r="F40" i="116"/>
  <c r="I41" i="115"/>
  <c r="H62" i="115"/>
  <c r="F60" i="116"/>
  <c r="F59" i="116" s="1"/>
  <c r="F58" i="116" s="1"/>
  <c r="D9" i="115"/>
  <c r="D74" i="115" s="1"/>
  <c r="G65" i="115"/>
  <c r="H65" i="115" s="1"/>
  <c r="H26" i="115"/>
  <c r="F24" i="116"/>
  <c r="I65" i="115"/>
  <c r="I64" i="115" s="1"/>
  <c r="I10" i="115"/>
  <c r="K19" i="115"/>
  <c r="L19" i="115" s="1"/>
  <c r="M19" i="115" s="1"/>
  <c r="H24" i="115"/>
  <c r="F22" i="116"/>
  <c r="H28" i="115"/>
  <c r="K42" i="115"/>
  <c r="L42" i="115" s="1"/>
  <c r="M42" i="115" s="1"/>
  <c r="I49" i="115"/>
  <c r="I48" i="115" s="1"/>
  <c r="K66" i="115"/>
  <c r="L66" i="115" s="1"/>
  <c r="M66" i="115" s="1"/>
  <c r="K72" i="115"/>
  <c r="K71" i="115" s="1"/>
  <c r="K48" i="117"/>
  <c r="L49" i="117"/>
  <c r="M49" i="117"/>
  <c r="J9" i="117"/>
  <c r="J74" i="117" s="1"/>
  <c r="K74" i="118"/>
  <c r="M9" i="118"/>
  <c r="L9" i="118"/>
  <c r="K15" i="117"/>
  <c r="L16" i="117"/>
  <c r="M16" i="117" s="1"/>
  <c r="K70" i="117"/>
  <c r="L70" i="117" s="1"/>
  <c r="M70" i="117" s="1"/>
  <c r="L71" i="117"/>
  <c r="M71" i="117" s="1"/>
  <c r="H61" i="117"/>
  <c r="G60" i="117"/>
  <c r="H60" i="117" s="1"/>
  <c r="L61" i="117"/>
  <c r="M61" i="117" s="1"/>
  <c r="K60" i="117"/>
  <c r="L60" i="117" s="1"/>
  <c r="M60" i="117" s="1"/>
  <c r="M21" i="117"/>
  <c r="L21" i="117"/>
  <c r="K41" i="117"/>
  <c r="L42" i="117"/>
  <c r="M42" i="117" s="1"/>
  <c r="L55" i="117"/>
  <c r="K54" i="117"/>
  <c r="G9" i="117"/>
  <c r="L36" i="117"/>
  <c r="M36" i="117"/>
  <c r="J62" i="115"/>
  <c r="J61" i="115" s="1"/>
  <c r="J60" i="115" s="1"/>
  <c r="F61" i="115"/>
  <c r="F60" i="115" s="1"/>
  <c r="I61" i="115"/>
  <c r="I60" i="115" s="1"/>
  <c r="I55" i="115"/>
  <c r="I54" i="115" s="1"/>
  <c r="K39" i="115"/>
  <c r="L39" i="115" s="1"/>
  <c r="M39" i="115" s="1"/>
  <c r="J21" i="115"/>
  <c r="I21" i="115"/>
  <c r="G16" i="115"/>
  <c r="G15" i="115" s="1"/>
  <c r="H15" i="115" s="1"/>
  <c r="J16" i="115"/>
  <c r="G55" i="115"/>
  <c r="H56" i="115"/>
  <c r="H10" i="115"/>
  <c r="J36" i="115"/>
  <c r="K37" i="115"/>
  <c r="L72" i="115"/>
  <c r="M72" i="115" s="1"/>
  <c r="G21" i="115"/>
  <c r="H21" i="115" s="1"/>
  <c r="J65" i="115"/>
  <c r="J64" i="115" s="1"/>
  <c r="G61" i="115"/>
  <c r="K18" i="115"/>
  <c r="K22" i="115"/>
  <c r="G37" i="115"/>
  <c r="F35" i="116" s="1"/>
  <c r="G39" i="115"/>
  <c r="J71" i="115"/>
  <c r="J70" i="115" s="1"/>
  <c r="H13" i="115"/>
  <c r="H42" i="115"/>
  <c r="H52" i="115"/>
  <c r="F36" i="115"/>
  <c r="F9" i="115" s="1"/>
  <c r="K46" i="115"/>
  <c r="L46" i="115" s="1"/>
  <c r="M46" i="115" s="1"/>
  <c r="G18" i="115"/>
  <c r="H18" i="115" s="1"/>
  <c r="G58" i="114"/>
  <c r="G13" i="114"/>
  <c r="F69" i="114"/>
  <c r="F68" i="114" s="1"/>
  <c r="F63" i="114"/>
  <c r="F62" i="114" s="1"/>
  <c r="F59" i="114"/>
  <c r="F58" i="114" s="1"/>
  <c r="F53" i="114"/>
  <c r="F52" i="114" s="1"/>
  <c r="F47" i="114"/>
  <c r="F46" i="114" s="1"/>
  <c r="F39" i="114"/>
  <c r="F34" i="114"/>
  <c r="F19" i="114"/>
  <c r="F16" i="114"/>
  <c r="F13" i="114"/>
  <c r="F8" i="114"/>
  <c r="D69" i="114"/>
  <c r="D68" i="114" s="1"/>
  <c r="D63" i="114"/>
  <c r="D62" i="114" s="1"/>
  <c r="D59" i="114"/>
  <c r="D58" i="114" s="1"/>
  <c r="D53" i="114"/>
  <c r="D52" i="114" s="1"/>
  <c r="D47" i="114"/>
  <c r="D46" i="114" s="1"/>
  <c r="D39" i="114"/>
  <c r="D34" i="114"/>
  <c r="D19" i="114"/>
  <c r="D16" i="114"/>
  <c r="D13" i="114"/>
  <c r="D8" i="114"/>
  <c r="I9" i="115" l="1"/>
  <c r="I74" i="115" s="1"/>
  <c r="H71" i="115"/>
  <c r="F39" i="116"/>
  <c r="G64" i="115"/>
  <c r="H64" i="115" s="1"/>
  <c r="G48" i="115"/>
  <c r="H48" i="115" s="1"/>
  <c r="K56" i="115"/>
  <c r="K65" i="115"/>
  <c r="L65" i="115" s="1"/>
  <c r="M65" i="115" s="1"/>
  <c r="K49" i="115"/>
  <c r="K48" i="115" s="1"/>
  <c r="F19" i="116"/>
  <c r="K10" i="115"/>
  <c r="M10" i="115" s="1"/>
  <c r="D7" i="114"/>
  <c r="D72" i="114" s="1"/>
  <c r="F74" i="115"/>
  <c r="L48" i="117"/>
  <c r="M48" i="117"/>
  <c r="F63" i="116"/>
  <c r="F62" i="116" s="1"/>
  <c r="F63" i="119"/>
  <c r="F62" i="119" s="1"/>
  <c r="F72" i="119" s="1"/>
  <c r="H16" i="115"/>
  <c r="F14" i="116"/>
  <c r="F13" i="116" s="1"/>
  <c r="H39" i="115"/>
  <c r="F37" i="116"/>
  <c r="F34" i="116" s="1"/>
  <c r="M74" i="118"/>
  <c r="L74" i="118"/>
  <c r="L41" i="117"/>
  <c r="M41" i="117"/>
  <c r="H9" i="117"/>
  <c r="G74" i="117"/>
  <c r="H74" i="117" s="1"/>
  <c r="M55" i="117"/>
  <c r="M54" i="117" s="1"/>
  <c r="L54" i="117"/>
  <c r="M15" i="117"/>
  <c r="L15" i="117"/>
  <c r="K9" i="117"/>
  <c r="K62" i="115"/>
  <c r="K16" i="115"/>
  <c r="J15" i="115"/>
  <c r="J9" i="115" s="1"/>
  <c r="J74" i="115" s="1"/>
  <c r="K41" i="115"/>
  <c r="K70" i="115"/>
  <c r="L70" i="115" s="1"/>
  <c r="M70" i="115" s="1"/>
  <c r="L71" i="115"/>
  <c r="M71" i="115" s="1"/>
  <c r="K36" i="115"/>
  <c r="L37" i="115"/>
  <c r="M37" i="115" s="1"/>
  <c r="H37" i="115"/>
  <c r="G36" i="115"/>
  <c r="H36" i="115" s="1"/>
  <c r="L22" i="115"/>
  <c r="M22" i="115" s="1"/>
  <c r="K21" i="115"/>
  <c r="M18" i="115"/>
  <c r="L18" i="115"/>
  <c r="H61" i="115"/>
  <c r="G60" i="115"/>
  <c r="H60" i="115" s="1"/>
  <c r="G54" i="115"/>
  <c r="H55" i="115"/>
  <c r="H54" i="115" s="1"/>
  <c r="F7" i="114"/>
  <c r="F72" i="114" s="1"/>
  <c r="L49" i="115" l="1"/>
  <c r="K64" i="115"/>
  <c r="L64" i="115" s="1"/>
  <c r="M64" i="115" s="1"/>
  <c r="E9" i="115"/>
  <c r="E74" i="115" s="1"/>
  <c r="M49" i="115"/>
  <c r="L10" i="115"/>
  <c r="F7" i="116"/>
  <c r="F72" i="116" s="1"/>
  <c r="L56" i="115"/>
  <c r="M56" i="115" s="1"/>
  <c r="K55" i="115"/>
  <c r="L9" i="117"/>
  <c r="K74" i="117"/>
  <c r="M9" i="117"/>
  <c r="G9" i="115"/>
  <c r="H9" i="115" s="1"/>
  <c r="L62" i="115"/>
  <c r="M62" i="115" s="1"/>
  <c r="K61" i="115"/>
  <c r="L16" i="115"/>
  <c r="M16" i="115" s="1"/>
  <c r="K15" i="115"/>
  <c r="K9" i="115" s="1"/>
  <c r="M48" i="115"/>
  <c r="L48" i="115"/>
  <c r="M21" i="115"/>
  <c r="L21" i="115"/>
  <c r="M36" i="115"/>
  <c r="L36" i="115"/>
  <c r="L41" i="115"/>
  <c r="M41" i="115"/>
  <c r="F56" i="113"/>
  <c r="J56" i="113" s="1"/>
  <c r="F62" i="113"/>
  <c r="G62" i="113" s="1"/>
  <c r="H62" i="113" s="1"/>
  <c r="F39" i="113"/>
  <c r="J39" i="113" s="1"/>
  <c r="F37" i="113"/>
  <c r="F16" i="113"/>
  <c r="J72" i="113"/>
  <c r="J71" i="113" s="1"/>
  <c r="J70" i="113" s="1"/>
  <c r="I72" i="113"/>
  <c r="G72" i="113"/>
  <c r="H72" i="113" s="1"/>
  <c r="F71" i="113"/>
  <c r="F70" i="113" s="1"/>
  <c r="E71" i="113"/>
  <c r="E70" i="113" s="1"/>
  <c r="D71" i="113"/>
  <c r="D70" i="113" s="1"/>
  <c r="J68" i="113"/>
  <c r="I68" i="113"/>
  <c r="G68" i="113"/>
  <c r="H68" i="113" s="1"/>
  <c r="J66" i="113"/>
  <c r="I66" i="113"/>
  <c r="G66" i="113"/>
  <c r="H66" i="113" s="1"/>
  <c r="F65" i="113"/>
  <c r="F64" i="113" s="1"/>
  <c r="E65" i="113"/>
  <c r="E64" i="113" s="1"/>
  <c r="D65" i="113"/>
  <c r="D64" i="113" s="1"/>
  <c r="I62" i="113"/>
  <c r="I61" i="113" s="1"/>
  <c r="I60" i="113" s="1"/>
  <c r="E61" i="113"/>
  <c r="E60" i="113" s="1"/>
  <c r="D61" i="113"/>
  <c r="D60" i="113" s="1"/>
  <c r="J58" i="113"/>
  <c r="I58" i="113"/>
  <c r="G58" i="113"/>
  <c r="H58" i="113" s="1"/>
  <c r="I56" i="113"/>
  <c r="E55" i="113"/>
  <c r="E54" i="113" s="1"/>
  <c r="D55" i="113"/>
  <c r="D54" i="113" s="1"/>
  <c r="J52" i="113"/>
  <c r="I52" i="113"/>
  <c r="G52" i="113"/>
  <c r="H52" i="113" s="1"/>
  <c r="J50" i="113"/>
  <c r="I50" i="113"/>
  <c r="G50" i="113"/>
  <c r="H50" i="113" s="1"/>
  <c r="F49" i="113"/>
  <c r="F48" i="113" s="1"/>
  <c r="E49" i="113"/>
  <c r="E48" i="113" s="1"/>
  <c r="D49" i="113"/>
  <c r="D48" i="113" s="1"/>
  <c r="J46" i="113"/>
  <c r="I46" i="113"/>
  <c r="G46" i="113"/>
  <c r="H46" i="113" s="1"/>
  <c r="J44" i="113"/>
  <c r="I44" i="113"/>
  <c r="G44" i="113"/>
  <c r="H44" i="113" s="1"/>
  <c r="J42" i="113"/>
  <c r="I42" i="113"/>
  <c r="G42" i="113"/>
  <c r="H42" i="113" s="1"/>
  <c r="F41" i="113"/>
  <c r="E41" i="113"/>
  <c r="D41" i="113"/>
  <c r="I39" i="113"/>
  <c r="I37" i="113"/>
  <c r="E36" i="113"/>
  <c r="D36" i="113"/>
  <c r="J34" i="113"/>
  <c r="I34" i="113"/>
  <c r="G34" i="113"/>
  <c r="H34" i="113" s="1"/>
  <c r="J32" i="113"/>
  <c r="I32" i="113"/>
  <c r="G32" i="113"/>
  <c r="H32" i="113" s="1"/>
  <c r="J30" i="113"/>
  <c r="I30" i="113"/>
  <c r="G30" i="113"/>
  <c r="H30" i="113" s="1"/>
  <c r="J28" i="113"/>
  <c r="I28" i="113"/>
  <c r="G28" i="113"/>
  <c r="H28" i="113" s="1"/>
  <c r="J26" i="113"/>
  <c r="I26" i="113"/>
  <c r="G26" i="113"/>
  <c r="H26" i="113" s="1"/>
  <c r="J24" i="113"/>
  <c r="I24" i="113"/>
  <c r="G24" i="113"/>
  <c r="J22" i="113"/>
  <c r="I22" i="113"/>
  <c r="G22" i="113"/>
  <c r="H22" i="113" s="1"/>
  <c r="F21" i="113"/>
  <c r="E21" i="113"/>
  <c r="D21" i="113"/>
  <c r="J19" i="113"/>
  <c r="J18" i="113" s="1"/>
  <c r="I19" i="113"/>
  <c r="I18" i="113" s="1"/>
  <c r="G19" i="113"/>
  <c r="F18" i="113"/>
  <c r="E18" i="113"/>
  <c r="D18" i="113"/>
  <c r="I16" i="113"/>
  <c r="F15" i="113"/>
  <c r="E15" i="113"/>
  <c r="D15" i="113"/>
  <c r="J13" i="113"/>
  <c r="I13" i="113"/>
  <c r="G13" i="113"/>
  <c r="H13" i="113" s="1"/>
  <c r="J11" i="113"/>
  <c r="I11" i="113"/>
  <c r="G11" i="113"/>
  <c r="H11" i="113" s="1"/>
  <c r="F10" i="113"/>
  <c r="E10" i="113"/>
  <c r="D10" i="113"/>
  <c r="G10" i="113" l="1"/>
  <c r="K26" i="113"/>
  <c r="L26" i="113" s="1"/>
  <c r="M26" i="113" s="1"/>
  <c r="K24" i="113"/>
  <c r="L24" i="113" s="1"/>
  <c r="M24" i="113" s="1"/>
  <c r="K28" i="113"/>
  <c r="L28" i="113" s="1"/>
  <c r="M28" i="113" s="1"/>
  <c r="K52" i="113"/>
  <c r="L52" i="113" s="1"/>
  <c r="M52" i="113" s="1"/>
  <c r="K58" i="113"/>
  <c r="L58" i="113" s="1"/>
  <c r="M58" i="113" s="1"/>
  <c r="K13" i="113"/>
  <c r="L13" i="113" s="1"/>
  <c r="M13" i="113" s="1"/>
  <c r="K22" i="113"/>
  <c r="L22" i="113" s="1"/>
  <c r="M22" i="113" s="1"/>
  <c r="K68" i="113"/>
  <c r="L68" i="113" s="1"/>
  <c r="M68" i="113" s="1"/>
  <c r="K46" i="113"/>
  <c r="L46" i="113" s="1"/>
  <c r="M46" i="113" s="1"/>
  <c r="F55" i="113"/>
  <c r="F54" i="113" s="1"/>
  <c r="K66" i="113"/>
  <c r="L66" i="113" s="1"/>
  <c r="M66" i="113" s="1"/>
  <c r="G56" i="113"/>
  <c r="G55" i="113" s="1"/>
  <c r="G54" i="113" s="1"/>
  <c r="G74" i="115"/>
  <c r="H74" i="115" s="1"/>
  <c r="L55" i="115"/>
  <c r="K54" i="115"/>
  <c r="K44" i="113"/>
  <c r="L44" i="113" s="1"/>
  <c r="M44" i="113" s="1"/>
  <c r="K56" i="113"/>
  <c r="L56" i="113" s="1"/>
  <c r="M56" i="113" s="1"/>
  <c r="J65" i="113"/>
  <c r="J64" i="113" s="1"/>
  <c r="D9" i="113"/>
  <c r="D74" i="113" s="1"/>
  <c r="K34" i="113"/>
  <c r="L34" i="113" s="1"/>
  <c r="M34" i="113" s="1"/>
  <c r="I49" i="113"/>
  <c r="I48" i="113" s="1"/>
  <c r="J62" i="113"/>
  <c r="J61" i="113" s="1"/>
  <c r="J60" i="113" s="1"/>
  <c r="K32" i="113"/>
  <c r="L32" i="113" s="1"/>
  <c r="M32" i="113" s="1"/>
  <c r="F61" i="113"/>
  <c r="F60" i="113" s="1"/>
  <c r="J10" i="113"/>
  <c r="J41" i="113"/>
  <c r="I65" i="113"/>
  <c r="I64" i="113" s="1"/>
  <c r="M74" i="117"/>
  <c r="L74" i="117"/>
  <c r="L61" i="115"/>
  <c r="M61" i="115" s="1"/>
  <c r="K60" i="115"/>
  <c r="L60" i="115" s="1"/>
  <c r="M60" i="115" s="1"/>
  <c r="M15" i="115"/>
  <c r="L15" i="115"/>
  <c r="M9" i="115"/>
  <c r="L9" i="115"/>
  <c r="G39" i="113"/>
  <c r="H39" i="113" s="1"/>
  <c r="K39" i="113"/>
  <c r="L39" i="113" s="1"/>
  <c r="M39" i="113" s="1"/>
  <c r="F36" i="113"/>
  <c r="F9" i="113" s="1"/>
  <c r="G37" i="113"/>
  <c r="H37" i="113" s="1"/>
  <c r="J37" i="113"/>
  <c r="J36" i="113" s="1"/>
  <c r="J16" i="113"/>
  <c r="J15" i="113" s="1"/>
  <c r="G16" i="113"/>
  <c r="G15" i="113" s="1"/>
  <c r="H15" i="113" s="1"/>
  <c r="I15" i="113"/>
  <c r="J55" i="113"/>
  <c r="J54" i="113" s="1"/>
  <c r="I41" i="113"/>
  <c r="K42" i="113"/>
  <c r="G41" i="113"/>
  <c r="I36" i="113"/>
  <c r="G21" i="113"/>
  <c r="H21" i="113" s="1"/>
  <c r="H24" i="113"/>
  <c r="H10" i="113"/>
  <c r="K30" i="113"/>
  <c r="L30" i="113" s="1"/>
  <c r="M30" i="113" s="1"/>
  <c r="H19" i="113"/>
  <c r="G18" i="113"/>
  <c r="H18" i="113" s="1"/>
  <c r="I10" i="113"/>
  <c r="K11" i="113"/>
  <c r="J21" i="113"/>
  <c r="K50" i="113"/>
  <c r="J49" i="113"/>
  <c r="J48" i="113" s="1"/>
  <c r="K72" i="113"/>
  <c r="I71" i="113"/>
  <c r="I70" i="113" s="1"/>
  <c r="K19" i="113"/>
  <c r="I21" i="113"/>
  <c r="G65" i="113"/>
  <c r="G49" i="113"/>
  <c r="G71" i="113"/>
  <c r="I55" i="113"/>
  <c r="I54" i="113" s="1"/>
  <c r="G61" i="113"/>
  <c r="F16" i="112"/>
  <c r="J16" i="112" s="1"/>
  <c r="J72" i="112"/>
  <c r="J71" i="112" s="1"/>
  <c r="J70" i="112" s="1"/>
  <c r="I72" i="112"/>
  <c r="G72" i="112"/>
  <c r="G71" i="112" s="1"/>
  <c r="F71" i="112"/>
  <c r="F70" i="112" s="1"/>
  <c r="E71" i="112"/>
  <c r="E70" i="112" s="1"/>
  <c r="D71" i="112"/>
  <c r="D70" i="112" s="1"/>
  <c r="J68" i="112"/>
  <c r="I68" i="112"/>
  <c r="G68" i="112"/>
  <c r="H68" i="112" s="1"/>
  <c r="J66" i="112"/>
  <c r="I66" i="112"/>
  <c r="G66" i="112"/>
  <c r="F65" i="112"/>
  <c r="F64" i="112" s="1"/>
  <c r="E65" i="112"/>
  <c r="E64" i="112" s="1"/>
  <c r="D65" i="112"/>
  <c r="D64" i="112" s="1"/>
  <c r="J62" i="112"/>
  <c r="J61" i="112" s="1"/>
  <c r="J60" i="112" s="1"/>
  <c r="I62" i="112"/>
  <c r="I61" i="112" s="1"/>
  <c r="I60" i="112" s="1"/>
  <c r="G62" i="112"/>
  <c r="H62" i="112" s="1"/>
  <c r="F61" i="112"/>
  <c r="F60" i="112" s="1"/>
  <c r="E61" i="112"/>
  <c r="E60" i="112" s="1"/>
  <c r="D61" i="112"/>
  <c r="D60" i="112" s="1"/>
  <c r="J58" i="112"/>
  <c r="I58" i="112"/>
  <c r="G58" i="112"/>
  <c r="H58" i="112" s="1"/>
  <c r="J56" i="112"/>
  <c r="I56" i="112"/>
  <c r="G56" i="112"/>
  <c r="H56" i="112" s="1"/>
  <c r="F55" i="112"/>
  <c r="F54" i="112" s="1"/>
  <c r="E55" i="112"/>
  <c r="E54" i="112" s="1"/>
  <c r="D55" i="112"/>
  <c r="D54" i="112" s="1"/>
  <c r="J52" i="112"/>
  <c r="I52" i="112"/>
  <c r="G52" i="112"/>
  <c r="H52" i="112" s="1"/>
  <c r="J50" i="112"/>
  <c r="I50" i="112"/>
  <c r="G50" i="112"/>
  <c r="F49" i="112"/>
  <c r="F48" i="112" s="1"/>
  <c r="E49" i="112"/>
  <c r="E48" i="112" s="1"/>
  <c r="D49" i="112"/>
  <c r="D48" i="112" s="1"/>
  <c r="J46" i="112"/>
  <c r="I46" i="112"/>
  <c r="G46" i="112"/>
  <c r="H46" i="112" s="1"/>
  <c r="J44" i="112"/>
  <c r="I44" i="112"/>
  <c r="K44" i="112" s="1"/>
  <c r="L44" i="112" s="1"/>
  <c r="M44" i="112" s="1"/>
  <c r="G44" i="112"/>
  <c r="H44" i="112" s="1"/>
  <c r="J42" i="112"/>
  <c r="I42" i="112"/>
  <c r="K42" i="112" s="1"/>
  <c r="G42" i="112"/>
  <c r="H42" i="112" s="1"/>
  <c r="F41" i="112"/>
  <c r="E41" i="112"/>
  <c r="D41" i="112"/>
  <c r="J39" i="112"/>
  <c r="I39" i="112"/>
  <c r="G39" i="112"/>
  <c r="H39" i="112" s="1"/>
  <c r="J37" i="112"/>
  <c r="I37" i="112"/>
  <c r="G37" i="112"/>
  <c r="F36" i="112"/>
  <c r="E36" i="112"/>
  <c r="D36" i="112"/>
  <c r="J34" i="112"/>
  <c r="I34" i="112"/>
  <c r="G34" i="112"/>
  <c r="H34" i="112" s="1"/>
  <c r="J32" i="112"/>
  <c r="I32" i="112"/>
  <c r="G32" i="112"/>
  <c r="J30" i="112"/>
  <c r="I30" i="112"/>
  <c r="K30" i="112" s="1"/>
  <c r="L30" i="112" s="1"/>
  <c r="M30" i="112" s="1"/>
  <c r="G30" i="112"/>
  <c r="H30" i="112" s="1"/>
  <c r="J28" i="112"/>
  <c r="I28" i="112"/>
  <c r="K28" i="112" s="1"/>
  <c r="L28" i="112" s="1"/>
  <c r="M28" i="112" s="1"/>
  <c r="G28" i="112"/>
  <c r="H28" i="112" s="1"/>
  <c r="J26" i="112"/>
  <c r="I26" i="112"/>
  <c r="G26" i="112"/>
  <c r="H26" i="112" s="1"/>
  <c r="J24" i="112"/>
  <c r="I24" i="112"/>
  <c r="G24" i="112"/>
  <c r="H24" i="112" s="1"/>
  <c r="J22" i="112"/>
  <c r="I22" i="112"/>
  <c r="G22" i="112"/>
  <c r="H22" i="112" s="1"/>
  <c r="F21" i="112"/>
  <c r="E21" i="112"/>
  <c r="D21" i="112"/>
  <c r="J19" i="112"/>
  <c r="J18" i="112" s="1"/>
  <c r="I19" i="112"/>
  <c r="I18" i="112" s="1"/>
  <c r="G19" i="112"/>
  <c r="H19" i="112" s="1"/>
  <c r="F18" i="112"/>
  <c r="E18" i="112"/>
  <c r="D18" i="112"/>
  <c r="I16" i="112"/>
  <c r="I15" i="112" s="1"/>
  <c r="E15" i="112"/>
  <c r="D15" i="112"/>
  <c r="J13" i="112"/>
  <c r="I13" i="112"/>
  <c r="G13" i="112"/>
  <c r="H13" i="112" s="1"/>
  <c r="J11" i="112"/>
  <c r="I11" i="112"/>
  <c r="G11" i="112"/>
  <c r="H11" i="112" s="1"/>
  <c r="F10" i="112"/>
  <c r="E10" i="112"/>
  <c r="D10" i="112"/>
  <c r="K32" i="112" l="1"/>
  <c r="L32" i="112" s="1"/>
  <c r="M32" i="112" s="1"/>
  <c r="K34" i="112"/>
  <c r="L34" i="112" s="1"/>
  <c r="M34" i="112" s="1"/>
  <c r="K37" i="113"/>
  <c r="L37" i="113" s="1"/>
  <c r="M37" i="113" s="1"/>
  <c r="K16" i="113"/>
  <c r="K15" i="113" s="1"/>
  <c r="M15" i="113" s="1"/>
  <c r="K22" i="112"/>
  <c r="K55" i="113"/>
  <c r="K54" i="113" s="1"/>
  <c r="H55" i="113"/>
  <c r="H54" i="113" s="1"/>
  <c r="K26" i="112"/>
  <c r="L26" i="112" s="1"/>
  <c r="M26" i="112" s="1"/>
  <c r="K41" i="113"/>
  <c r="M41" i="113" s="1"/>
  <c r="K13" i="112"/>
  <c r="L13" i="112" s="1"/>
  <c r="M13" i="112" s="1"/>
  <c r="J65" i="112"/>
  <c r="J64" i="112" s="1"/>
  <c r="K72" i="112"/>
  <c r="L72" i="112" s="1"/>
  <c r="M72" i="112" s="1"/>
  <c r="J55" i="112"/>
  <c r="J54" i="112" s="1"/>
  <c r="K24" i="112"/>
  <c r="L24" i="112" s="1"/>
  <c r="M24" i="112" s="1"/>
  <c r="K65" i="113"/>
  <c r="L65" i="113" s="1"/>
  <c r="M65" i="113" s="1"/>
  <c r="I49" i="112"/>
  <c r="I48" i="112" s="1"/>
  <c r="I10" i="112"/>
  <c r="K56" i="112"/>
  <c r="L56" i="112" s="1"/>
  <c r="M56" i="112" s="1"/>
  <c r="H16" i="113"/>
  <c r="H56" i="113"/>
  <c r="K68" i="112"/>
  <c r="L68" i="112" s="1"/>
  <c r="M68" i="112" s="1"/>
  <c r="F74" i="113"/>
  <c r="M55" i="115"/>
  <c r="M54" i="115" s="1"/>
  <c r="L54" i="115"/>
  <c r="L42" i="113"/>
  <c r="M42" i="113" s="1"/>
  <c r="J49" i="112"/>
  <c r="J48" i="112" s="1"/>
  <c r="G36" i="112"/>
  <c r="H36" i="112" s="1"/>
  <c r="G65" i="112"/>
  <c r="G64" i="112" s="1"/>
  <c r="H64" i="112" s="1"/>
  <c r="G18" i="112"/>
  <c r="H18" i="112" s="1"/>
  <c r="I36" i="112"/>
  <c r="K52" i="112"/>
  <c r="L52" i="112" s="1"/>
  <c r="M52" i="112" s="1"/>
  <c r="K66" i="112"/>
  <c r="L66" i="112" s="1"/>
  <c r="M66" i="112" s="1"/>
  <c r="H66" i="112"/>
  <c r="G36" i="113"/>
  <c r="H36" i="113" s="1"/>
  <c r="I21" i="112"/>
  <c r="K46" i="112"/>
  <c r="L46" i="112" s="1"/>
  <c r="M46" i="112" s="1"/>
  <c r="D9" i="112"/>
  <c r="D74" i="112" s="1"/>
  <c r="K62" i="113"/>
  <c r="L62" i="113" s="1"/>
  <c r="M62" i="113" s="1"/>
  <c r="K74" i="115"/>
  <c r="L74" i="115" s="1"/>
  <c r="K11" i="112"/>
  <c r="K19" i="112"/>
  <c r="L19" i="112" s="1"/>
  <c r="M19" i="112" s="1"/>
  <c r="G49" i="112"/>
  <c r="G48" i="112" s="1"/>
  <c r="H48" i="112" s="1"/>
  <c r="G61" i="112"/>
  <c r="G60" i="112" s="1"/>
  <c r="H60" i="112" s="1"/>
  <c r="J9" i="113"/>
  <c r="J74" i="113" s="1"/>
  <c r="L72" i="113"/>
  <c r="M72" i="113" s="1"/>
  <c r="K71" i="113"/>
  <c r="G48" i="113"/>
  <c r="H48" i="113" s="1"/>
  <c r="H49" i="113"/>
  <c r="K36" i="113"/>
  <c r="H61" i="113"/>
  <c r="G60" i="113"/>
  <c r="H60" i="113" s="1"/>
  <c r="L50" i="113"/>
  <c r="M50" i="113" s="1"/>
  <c r="K49" i="113"/>
  <c r="L11" i="113"/>
  <c r="M11" i="113" s="1"/>
  <c r="K10" i="113"/>
  <c r="G70" i="113"/>
  <c r="H70" i="113" s="1"/>
  <c r="H71" i="113"/>
  <c r="G64" i="113"/>
  <c r="H64" i="113" s="1"/>
  <c r="H65" i="113"/>
  <c r="L41" i="113"/>
  <c r="L19" i="113"/>
  <c r="M19" i="113" s="1"/>
  <c r="K18" i="113"/>
  <c r="I9" i="113"/>
  <c r="K21" i="113"/>
  <c r="K58" i="112"/>
  <c r="L58" i="112" s="1"/>
  <c r="M58" i="112" s="1"/>
  <c r="K62" i="112"/>
  <c r="L62" i="112" s="1"/>
  <c r="M62" i="112" s="1"/>
  <c r="J41" i="112"/>
  <c r="J36" i="112"/>
  <c r="K39" i="112"/>
  <c r="L39" i="112" s="1"/>
  <c r="M39" i="112" s="1"/>
  <c r="G21" i="112"/>
  <c r="H21" i="112" s="1"/>
  <c r="F15" i="112"/>
  <c r="F9" i="112" s="1"/>
  <c r="F74" i="112" s="1"/>
  <c r="G16" i="112"/>
  <c r="H16" i="112" s="1"/>
  <c r="K16" i="112"/>
  <c r="L16" i="112" s="1"/>
  <c r="M16" i="112" s="1"/>
  <c r="L22" i="112"/>
  <c r="M22" i="112" s="1"/>
  <c r="G70" i="112"/>
  <c r="H70" i="112" s="1"/>
  <c r="H71" i="112"/>
  <c r="L42" i="112"/>
  <c r="M42" i="112" s="1"/>
  <c r="K71" i="112"/>
  <c r="J21" i="112"/>
  <c r="H37" i="112"/>
  <c r="G41" i="112"/>
  <c r="H50" i="112"/>
  <c r="I41" i="112"/>
  <c r="I65" i="112"/>
  <c r="I64" i="112" s="1"/>
  <c r="H72" i="112"/>
  <c r="G55" i="112"/>
  <c r="G10" i="112"/>
  <c r="K37" i="112"/>
  <c r="K50" i="112"/>
  <c r="I71" i="112"/>
  <c r="I70" i="112" s="1"/>
  <c r="H32" i="112"/>
  <c r="I55" i="112"/>
  <c r="I54" i="112" s="1"/>
  <c r="J10" i="112"/>
  <c r="J15" i="112"/>
  <c r="G72" i="111"/>
  <c r="H72" i="111" s="1"/>
  <c r="J42" i="111"/>
  <c r="J39" i="111"/>
  <c r="J37" i="111"/>
  <c r="G16" i="111"/>
  <c r="G15" i="111" s="1"/>
  <c r="G13" i="111"/>
  <c r="H13" i="111" s="1"/>
  <c r="J72" i="111"/>
  <c r="I72" i="111"/>
  <c r="I71" i="111" s="1"/>
  <c r="I70" i="111" s="1"/>
  <c r="E71" i="111"/>
  <c r="E70" i="111" s="1"/>
  <c r="D71" i="111"/>
  <c r="D70" i="111" s="1"/>
  <c r="J68" i="111"/>
  <c r="I68" i="111"/>
  <c r="G68" i="111"/>
  <c r="H68" i="111" s="1"/>
  <c r="J66" i="111"/>
  <c r="I66" i="111"/>
  <c r="G66" i="111"/>
  <c r="H66" i="111" s="1"/>
  <c r="F65" i="111"/>
  <c r="F64" i="111" s="1"/>
  <c r="E65" i="111"/>
  <c r="E64" i="111" s="1"/>
  <c r="D65" i="111"/>
  <c r="D64" i="111" s="1"/>
  <c r="I62" i="111"/>
  <c r="I61" i="111" s="1"/>
  <c r="I60" i="111" s="1"/>
  <c r="J62" i="111"/>
  <c r="J61" i="111" s="1"/>
  <c r="J60" i="111" s="1"/>
  <c r="F61" i="111"/>
  <c r="F60" i="111" s="1"/>
  <c r="E61" i="111"/>
  <c r="E60" i="111" s="1"/>
  <c r="D61" i="111"/>
  <c r="D60" i="111" s="1"/>
  <c r="J58" i="111"/>
  <c r="I58" i="111"/>
  <c r="G58" i="111"/>
  <c r="H58" i="111" s="1"/>
  <c r="J56" i="111"/>
  <c r="I56" i="111"/>
  <c r="G56" i="111"/>
  <c r="H56" i="111" s="1"/>
  <c r="F55" i="111"/>
  <c r="F54" i="111" s="1"/>
  <c r="E55" i="111"/>
  <c r="E54" i="111" s="1"/>
  <c r="D55" i="111"/>
  <c r="D54" i="111" s="1"/>
  <c r="I52" i="111"/>
  <c r="J50" i="111"/>
  <c r="I50" i="111"/>
  <c r="G50" i="111"/>
  <c r="H50" i="111" s="1"/>
  <c r="E49" i="111"/>
  <c r="E48" i="111" s="1"/>
  <c r="D49" i="111"/>
  <c r="D48" i="111" s="1"/>
  <c r="J46" i="111"/>
  <c r="I46" i="111"/>
  <c r="G46" i="111"/>
  <c r="H46" i="111" s="1"/>
  <c r="I44" i="111"/>
  <c r="J44" i="111"/>
  <c r="I42" i="111"/>
  <c r="E41" i="111"/>
  <c r="D41" i="111"/>
  <c r="I39" i="111"/>
  <c r="I37" i="111"/>
  <c r="G37" i="111"/>
  <c r="E36" i="111"/>
  <c r="D36" i="111"/>
  <c r="I34" i="111"/>
  <c r="I32" i="111"/>
  <c r="I30" i="111"/>
  <c r="I28" i="111"/>
  <c r="I26" i="111"/>
  <c r="I24" i="111"/>
  <c r="I22" i="111"/>
  <c r="E21" i="111"/>
  <c r="D21" i="111"/>
  <c r="J19" i="111"/>
  <c r="J18" i="111" s="1"/>
  <c r="I19" i="111"/>
  <c r="I18" i="111" s="1"/>
  <c r="G19" i="111"/>
  <c r="H19" i="111" s="1"/>
  <c r="F18" i="111"/>
  <c r="E18" i="111"/>
  <c r="D18" i="111"/>
  <c r="I16" i="111"/>
  <c r="E15" i="111"/>
  <c r="D15" i="111"/>
  <c r="I13" i="111"/>
  <c r="I11" i="111"/>
  <c r="G11" i="111"/>
  <c r="E10" i="111"/>
  <c r="D10" i="111"/>
  <c r="K64" i="113" l="1"/>
  <c r="L64" i="113" s="1"/>
  <c r="M64" i="113" s="1"/>
  <c r="L15" i="113"/>
  <c r="L55" i="113"/>
  <c r="L54" i="113" s="1"/>
  <c r="L16" i="113"/>
  <c r="M16" i="113" s="1"/>
  <c r="K66" i="111"/>
  <c r="K21" i="112"/>
  <c r="L21" i="112" s="1"/>
  <c r="K10" i="112"/>
  <c r="M10" i="112" s="1"/>
  <c r="K65" i="112"/>
  <c r="K64" i="112" s="1"/>
  <c r="L64" i="112" s="1"/>
  <c r="M64" i="112" s="1"/>
  <c r="H61" i="112"/>
  <c r="H49" i="112"/>
  <c r="I41" i="111"/>
  <c r="K18" i="112"/>
  <c r="L18" i="112" s="1"/>
  <c r="H65" i="112"/>
  <c r="I9" i="112"/>
  <c r="I74" i="112" s="1"/>
  <c r="K61" i="112"/>
  <c r="K60" i="112" s="1"/>
  <c r="L60" i="112" s="1"/>
  <c r="M60" i="112" s="1"/>
  <c r="K41" i="112"/>
  <c r="M41" i="112" s="1"/>
  <c r="I10" i="111"/>
  <c r="G9" i="113"/>
  <c r="H9" i="113" s="1"/>
  <c r="K72" i="111"/>
  <c r="K71" i="111" s="1"/>
  <c r="K61" i="113"/>
  <c r="K60" i="113" s="1"/>
  <c r="L60" i="113" s="1"/>
  <c r="M60" i="113" s="1"/>
  <c r="M74" i="115"/>
  <c r="K15" i="112"/>
  <c r="M15" i="112" s="1"/>
  <c r="K55" i="112"/>
  <c r="L55" i="112" s="1"/>
  <c r="H15" i="111"/>
  <c r="L11" i="112"/>
  <c r="M11" i="112" s="1"/>
  <c r="K46" i="111"/>
  <c r="L46" i="111" s="1"/>
  <c r="M46" i="111" s="1"/>
  <c r="L21" i="113"/>
  <c r="M21" i="113"/>
  <c r="L18" i="113"/>
  <c r="M18" i="113"/>
  <c r="M49" i="113"/>
  <c r="L49" i="113"/>
  <c r="K48" i="113"/>
  <c r="K9" i="113"/>
  <c r="M10" i="113"/>
  <c r="L10" i="113"/>
  <c r="M36" i="113"/>
  <c r="L36" i="113"/>
  <c r="L71" i="113"/>
  <c r="M71" i="113" s="1"/>
  <c r="K70" i="113"/>
  <c r="L70" i="113" s="1"/>
  <c r="M70" i="113" s="1"/>
  <c r="E9" i="113"/>
  <c r="E74" i="113" s="1"/>
  <c r="I74" i="113"/>
  <c r="G15" i="112"/>
  <c r="H15" i="112" s="1"/>
  <c r="L37" i="112"/>
  <c r="M37" i="112" s="1"/>
  <c r="K36" i="112"/>
  <c r="H10" i="112"/>
  <c r="H55" i="112"/>
  <c r="H54" i="112" s="1"/>
  <c r="G54" i="112"/>
  <c r="L71" i="112"/>
  <c r="M71" i="112" s="1"/>
  <c r="K70" i="112"/>
  <c r="L70" i="112" s="1"/>
  <c r="M70" i="112" s="1"/>
  <c r="J9" i="112"/>
  <c r="J74" i="112" s="1"/>
  <c r="L50" i="112"/>
  <c r="M50" i="112" s="1"/>
  <c r="K49" i="112"/>
  <c r="F71" i="111"/>
  <c r="F70" i="111" s="1"/>
  <c r="K68" i="111"/>
  <c r="L68" i="111" s="1"/>
  <c r="M68" i="111" s="1"/>
  <c r="D9" i="111"/>
  <c r="D74" i="111" s="1"/>
  <c r="J55" i="111"/>
  <c r="J54" i="111" s="1"/>
  <c r="J65" i="111"/>
  <c r="J64" i="111" s="1"/>
  <c r="I21" i="111"/>
  <c r="J11" i="111"/>
  <c r="K11" i="111" s="1"/>
  <c r="L11" i="111" s="1"/>
  <c r="M11" i="111" s="1"/>
  <c r="J13" i="111"/>
  <c r="K13" i="111" s="1"/>
  <c r="L13" i="111" s="1"/>
  <c r="M13" i="111" s="1"/>
  <c r="J71" i="111"/>
  <c r="J70" i="111" s="1"/>
  <c r="K50" i="111"/>
  <c r="L50" i="111" s="1"/>
  <c r="M50" i="111" s="1"/>
  <c r="J41" i="111"/>
  <c r="K58" i="111"/>
  <c r="L58" i="111" s="1"/>
  <c r="M58" i="111" s="1"/>
  <c r="I55" i="111"/>
  <c r="I54" i="111" s="1"/>
  <c r="K56" i="111"/>
  <c r="K44" i="111"/>
  <c r="L44" i="111" s="1"/>
  <c r="M44" i="111" s="1"/>
  <c r="H37" i="111"/>
  <c r="J36" i="111"/>
  <c r="K39" i="111"/>
  <c r="L39" i="111" s="1"/>
  <c r="M39" i="111" s="1"/>
  <c r="G39" i="111"/>
  <c r="H39" i="111" s="1"/>
  <c r="F36" i="111"/>
  <c r="J16" i="111"/>
  <c r="J15" i="111" s="1"/>
  <c r="H11" i="111"/>
  <c r="G10" i="111"/>
  <c r="H10" i="111" s="1"/>
  <c r="F10" i="111"/>
  <c r="I15" i="111"/>
  <c r="G18" i="111"/>
  <c r="H18" i="111" s="1"/>
  <c r="G26" i="111"/>
  <c r="H26" i="111" s="1"/>
  <c r="J26" i="111"/>
  <c r="K26" i="111" s="1"/>
  <c r="L26" i="111" s="1"/>
  <c r="M26" i="111" s="1"/>
  <c r="G32" i="111"/>
  <c r="H32" i="111" s="1"/>
  <c r="J32" i="111"/>
  <c r="K32" i="111" s="1"/>
  <c r="L32" i="111" s="1"/>
  <c r="M32" i="111" s="1"/>
  <c r="K37" i="111"/>
  <c r="G28" i="111"/>
  <c r="H28" i="111" s="1"/>
  <c r="J28" i="111"/>
  <c r="K28" i="111" s="1"/>
  <c r="L28" i="111" s="1"/>
  <c r="M28" i="111" s="1"/>
  <c r="G34" i="111"/>
  <c r="H34" i="111" s="1"/>
  <c r="J34" i="111"/>
  <c r="K34" i="111" s="1"/>
  <c r="L34" i="111" s="1"/>
  <c r="M34" i="111" s="1"/>
  <c r="G52" i="111"/>
  <c r="H52" i="111" s="1"/>
  <c r="F49" i="111"/>
  <c r="F48" i="111" s="1"/>
  <c r="J52" i="111"/>
  <c r="K52" i="111" s="1"/>
  <c r="J24" i="111"/>
  <c r="K24" i="111" s="1"/>
  <c r="L24" i="111" s="1"/>
  <c r="M24" i="111" s="1"/>
  <c r="G24" i="111"/>
  <c r="H24" i="111" s="1"/>
  <c r="G22" i="111"/>
  <c r="J22" i="111"/>
  <c r="J30" i="111"/>
  <c r="K30" i="111" s="1"/>
  <c r="L30" i="111" s="1"/>
  <c r="M30" i="111" s="1"/>
  <c r="G30" i="111"/>
  <c r="H30" i="111" s="1"/>
  <c r="K42" i="111"/>
  <c r="H16" i="111"/>
  <c r="I36" i="111"/>
  <c r="F21" i="111"/>
  <c r="L66" i="111"/>
  <c r="M66" i="111" s="1"/>
  <c r="K62" i="111"/>
  <c r="K19" i="111"/>
  <c r="I49" i="111"/>
  <c r="I48" i="111" s="1"/>
  <c r="G55" i="111"/>
  <c r="I65" i="111"/>
  <c r="I64" i="111" s="1"/>
  <c r="G71" i="111"/>
  <c r="G65" i="111"/>
  <c r="F15" i="111"/>
  <c r="F41" i="111"/>
  <c r="G42" i="111"/>
  <c r="G44" i="111"/>
  <c r="H44" i="111" s="1"/>
  <c r="G62" i="111"/>
  <c r="M55" i="113" l="1"/>
  <c r="M54" i="113" s="1"/>
  <c r="L61" i="112"/>
  <c r="M61" i="112" s="1"/>
  <c r="K54" i="112"/>
  <c r="L10" i="112"/>
  <c r="M21" i="112"/>
  <c r="L65" i="112"/>
  <c r="M65" i="112" s="1"/>
  <c r="L61" i="113"/>
  <c r="M61" i="113" s="1"/>
  <c r="M18" i="112"/>
  <c r="L72" i="111"/>
  <c r="M72" i="111" s="1"/>
  <c r="K65" i="111"/>
  <c r="K64" i="111" s="1"/>
  <c r="L64" i="111" s="1"/>
  <c r="M64" i="111" s="1"/>
  <c r="L41" i="112"/>
  <c r="E9" i="112"/>
  <c r="E74" i="112" s="1"/>
  <c r="L15" i="112"/>
  <c r="G9" i="112"/>
  <c r="G74" i="112" s="1"/>
  <c r="H74" i="112" s="1"/>
  <c r="K9" i="112"/>
  <c r="L9" i="112" s="1"/>
  <c r="G74" i="113"/>
  <c r="H74" i="113" s="1"/>
  <c r="K55" i="111"/>
  <c r="L55" i="111" s="1"/>
  <c r="I9" i="111"/>
  <c r="E9" i="111" s="1"/>
  <c r="E74" i="111" s="1"/>
  <c r="K74" i="113"/>
  <c r="M9" i="113"/>
  <c r="L9" i="113"/>
  <c r="M48" i="113"/>
  <c r="L48" i="113"/>
  <c r="M49" i="112"/>
  <c r="L49" i="112"/>
  <c r="K48" i="112"/>
  <c r="L54" i="112"/>
  <c r="M55" i="112"/>
  <c r="M54" i="112" s="1"/>
  <c r="M36" i="112"/>
  <c r="L36" i="112"/>
  <c r="F9" i="111"/>
  <c r="F74" i="111" s="1"/>
  <c r="J10" i="111"/>
  <c r="L56" i="111"/>
  <c r="M56" i="111" s="1"/>
  <c r="G36" i="111"/>
  <c r="K16" i="111"/>
  <c r="K10" i="111"/>
  <c r="M10" i="111" s="1"/>
  <c r="L52" i="111"/>
  <c r="M52" i="111" s="1"/>
  <c r="K49" i="111"/>
  <c r="G61" i="111"/>
  <c r="H62" i="111"/>
  <c r="G70" i="111"/>
  <c r="H70" i="111" s="1"/>
  <c r="H71" i="111"/>
  <c r="L71" i="111"/>
  <c r="M71" i="111" s="1"/>
  <c r="K70" i="111"/>
  <c r="L70" i="111" s="1"/>
  <c r="M70" i="111" s="1"/>
  <c r="J49" i="111"/>
  <c r="J48" i="111" s="1"/>
  <c r="G54" i="111"/>
  <c r="H55" i="111"/>
  <c r="H54" i="111" s="1"/>
  <c r="G21" i="111"/>
  <c r="H22" i="111"/>
  <c r="L19" i="111"/>
  <c r="M19" i="111" s="1"/>
  <c r="K18" i="111"/>
  <c r="L37" i="111"/>
  <c r="M37" i="111" s="1"/>
  <c r="K36" i="111"/>
  <c r="H42" i="111"/>
  <c r="G41" i="111"/>
  <c r="K22" i="111"/>
  <c r="J21" i="111"/>
  <c r="L62" i="111"/>
  <c r="M62" i="111" s="1"/>
  <c r="K61" i="111"/>
  <c r="K41" i="111"/>
  <c r="L42" i="111"/>
  <c r="M42" i="111" s="1"/>
  <c r="G49" i="111"/>
  <c r="G64" i="111"/>
  <c r="H64" i="111" s="1"/>
  <c r="H65" i="111"/>
  <c r="L65" i="111" l="1"/>
  <c r="M65" i="111" s="1"/>
  <c r="M9" i="112"/>
  <c r="H9" i="112"/>
  <c r="K54" i="111"/>
  <c r="I74" i="111"/>
  <c r="J9" i="111"/>
  <c r="J74" i="111" s="1"/>
  <c r="M74" i="113"/>
  <c r="L74" i="113"/>
  <c r="M48" i="112"/>
  <c r="L48" i="112"/>
  <c r="K74" i="112"/>
  <c r="H36" i="111"/>
  <c r="G9" i="111"/>
  <c r="L10" i="111"/>
  <c r="L16" i="111"/>
  <c r="M16" i="111" s="1"/>
  <c r="K15" i="111"/>
  <c r="H49" i="111"/>
  <c r="G48" i="111"/>
  <c r="H48" i="111" s="1"/>
  <c r="M55" i="111"/>
  <c r="M54" i="111" s="1"/>
  <c r="L54" i="111"/>
  <c r="L36" i="111"/>
  <c r="M36" i="111"/>
  <c r="G60" i="111"/>
  <c r="H60" i="111" s="1"/>
  <c r="H61" i="111"/>
  <c r="K60" i="111"/>
  <c r="L60" i="111" s="1"/>
  <c r="M60" i="111" s="1"/>
  <c r="L61" i="111"/>
  <c r="M61" i="111" s="1"/>
  <c r="M18" i="111"/>
  <c r="L18" i="111"/>
  <c r="L49" i="111"/>
  <c r="K48" i="111"/>
  <c r="M49" i="111"/>
  <c r="M41" i="111"/>
  <c r="L41" i="111"/>
  <c r="L22" i="111"/>
  <c r="M22" i="111" s="1"/>
  <c r="K21" i="111"/>
  <c r="H21" i="111"/>
  <c r="K9" i="111" l="1"/>
  <c r="M9" i="111" s="1"/>
  <c r="M74" i="112"/>
  <c r="L74" i="112"/>
  <c r="M15" i="111"/>
  <c r="L15" i="111"/>
  <c r="M48" i="111"/>
  <c r="L48" i="111"/>
  <c r="L21" i="111"/>
  <c r="M21" i="111"/>
  <c r="G74" i="111"/>
  <c r="H74" i="111" s="1"/>
  <c r="H9" i="111"/>
  <c r="L9" i="111" l="1"/>
  <c r="K74" i="111"/>
  <c r="M74" i="111" s="1"/>
  <c r="L74" i="111" l="1"/>
  <c r="D15" i="99"/>
  <c r="D13" i="99"/>
  <c r="D14" i="99"/>
  <c r="E16" i="99"/>
  <c r="C16" i="99"/>
  <c r="F14" i="99"/>
  <c r="F16" i="99" s="1"/>
  <c r="D7" i="99"/>
  <c r="C7" i="99"/>
  <c r="F5" i="99"/>
  <c r="F7" i="99" s="1"/>
  <c r="E7" i="99"/>
  <c r="D16" i="99" l="1"/>
</calcChain>
</file>

<file path=xl/sharedStrings.xml><?xml version="1.0" encoding="utf-8"?>
<sst xmlns="http://schemas.openxmlformats.org/spreadsheetml/2006/main" count="1306" uniqueCount="145">
  <si>
    <t>Penyediaan jasa komunikasi, sumber daya air dan listrik</t>
  </si>
  <si>
    <t>Penyediaan barang cetakan dan penggandaan</t>
  </si>
  <si>
    <t>Penyediaan komponen instalasi listrik/penerangan bangunan kantor</t>
  </si>
  <si>
    <t>Penyediaan bahan bacaan dan peraturan perundang-undangan</t>
  </si>
  <si>
    <t>DPA</t>
  </si>
  <si>
    <t>KONTRAK</t>
  </si>
  <si>
    <t>NO</t>
  </si>
  <si>
    <t>KODE REKENING / NAMA KEGIATAN</t>
  </si>
  <si>
    <t>%</t>
  </si>
  <si>
    <t>SP2D</t>
  </si>
  <si>
    <t>DANA (RP)</t>
  </si>
  <si>
    <t>s/d BULAN LALU (Rp)</t>
  </si>
  <si>
    <t>BULAN INI  (Rp)</t>
  </si>
  <si>
    <t>s/d BULAN INI    (Rp)</t>
  </si>
  <si>
    <t>SPJ</t>
  </si>
  <si>
    <t>REALISASI  KEGIATAN  %</t>
  </si>
  <si>
    <t>KET</t>
  </si>
  <si>
    <t>DANA    : DAU</t>
  </si>
  <si>
    <t>Penyusunan Dokumen Perencanaan Perangkat Daerah</t>
  </si>
  <si>
    <t>Penyediaan Gaji dan Tunjangan ASN</t>
  </si>
  <si>
    <t>Fasilitasi Kunjungan Tamu</t>
  </si>
  <si>
    <t>Penyediaan jasa pelayanan umum kantor</t>
  </si>
  <si>
    <t>Pemeliharaan peralatan mesin dan mesin lainnya</t>
  </si>
  <si>
    <t>Fasilitasi percepatan pencapaian standar pelayanan minimal dikecamatan</t>
  </si>
  <si>
    <t>Peningkatan Efektifitas Pelaksanaan Pelayanan kepada Masyarakat di wilayah Kecamatan</t>
  </si>
  <si>
    <t>Peningkatan Efektifitas Kegiatan Pemberdayaan masyarakat di Wilayah kecamatan</t>
  </si>
  <si>
    <t>Sinergitas dengan Kepolisian Negara Republik Indonesia, Tentara Nasional Indonesia dan Instansi Vertikal di Wilayah Kecamatan</t>
  </si>
  <si>
    <t>Pembinaan Wawasan Kebangsaan dan Ketahanan Nasional dalam rangka Memantapkan Pengamalan Pancasila, Pelaksanaan Undang Undang Dasar Negara Republik Indonesia Tahun1945, Pelestarian Bhinneka Tunggal Ika serta Pemertahanan dan Pemeliharaan KeutuhanNegara Kesatuan Republik Indonesia</t>
  </si>
  <si>
    <t>Fasilitasi Administrasi Tata Pemerintahan Desa</t>
  </si>
  <si>
    <t>Pembinaan Kerukunan Antarsuku dan Intrasuku, Umat Beragama, Ras, dan Golongan Lainnya Guna Mewujudkan Stabilitas Keamanan Lokal, Regional, dan Nasional</t>
  </si>
  <si>
    <t>07.01.01.2.01.01</t>
  </si>
  <si>
    <t>07.01.01.2.09.06</t>
  </si>
  <si>
    <t>07.01.01.2.09.01</t>
  </si>
  <si>
    <t>07.01.01.2.02.01</t>
  </si>
  <si>
    <t>07.01.01.2.06.01</t>
  </si>
  <si>
    <t>07.01.01.2.06.02</t>
  </si>
  <si>
    <t>07.01.01.2.06.05</t>
  </si>
  <si>
    <t>07.01.01.2.06.06</t>
  </si>
  <si>
    <t>07.01.01.2.06.08</t>
  </si>
  <si>
    <t>07.01.01.2.08.02</t>
  </si>
  <si>
    <t>07.01.01.2.08.04</t>
  </si>
  <si>
    <t>07.01.02.2.02.02</t>
  </si>
  <si>
    <t>07.01.02.2.02.03</t>
  </si>
  <si>
    <t>07.01.03..2.01.03</t>
  </si>
  <si>
    <t>07.01.04.2.03.01</t>
  </si>
  <si>
    <t>07.01.05.2.01.01</t>
  </si>
  <si>
    <t>07.01.05.2.01.04</t>
  </si>
  <si>
    <t>07.01.06.2.01.02</t>
  </si>
  <si>
    <t>Pengolahan Data Retribusi Daerah</t>
  </si>
  <si>
    <t>07.01.01.2.04.05</t>
  </si>
  <si>
    <t>07.01.01.2.06.04</t>
  </si>
  <si>
    <t>Penyediaan Bahan Logistik Kantor</t>
  </si>
  <si>
    <t>07.01.01.2.06.09</t>
  </si>
  <si>
    <t>Penyelenggaraan Rapat Koordinasi dan Konsultasi SKPD</t>
  </si>
  <si>
    <t>Peningkatan Partisipasi Masyarakat dalam Forum Musyawarah Perencanaan Pembangunan di Desa</t>
  </si>
  <si>
    <t>07.01.03..2.01.01</t>
  </si>
  <si>
    <t>PENGGUNA  ANGGARAN</t>
  </si>
  <si>
    <t>KECAMATAN TASIKMADU</t>
  </si>
  <si>
    <t>JUMLAH</t>
  </si>
  <si>
    <t>JOKO SETYONO, SP</t>
  </si>
  <si>
    <t>NIP. 197009091994031004</t>
  </si>
  <si>
    <t>Perencanaan , Penganggaran dan Evaluasi Kinerja Perangkat Daerah</t>
  </si>
  <si>
    <t>Administrasi Keuangan Daerah</t>
  </si>
  <si>
    <t>Administrasi Umum Perangkat Daerah</t>
  </si>
  <si>
    <t>Penyelenggaraan Urusan Pemerintahan yang rtidak dilaksanakan oleh Unit Kerja Perangkat Daerah yang ada di Kecamatan</t>
  </si>
  <si>
    <t>Koordinasi Kegiatan Pemberdayaan Desa</t>
  </si>
  <si>
    <t>Penyelenggaraan Urusan Pemerintahan Umum Sesuai Penegasan Kepala daerah</t>
  </si>
  <si>
    <t>Fasilitasi, Rekomendasi dan Koordinasi Pembinaan dan Pengawasan Pemerintahan Desa</t>
  </si>
  <si>
    <t>Program Penunjang Urusan Pemerintahan Daerah Kabupaten/Kota</t>
  </si>
  <si>
    <t>Administrasi Pendapatan Daerah Kewenangan Perangkat Daerah</t>
  </si>
  <si>
    <t>Penyediaan Jasa Penunjang Urusan Pemerintahan Daerah</t>
  </si>
  <si>
    <t>Pemeliharaan Barang Milik Daerah Penunjang Urusan Pemerintahan Daerah</t>
  </si>
  <si>
    <t>Program Pemberdayaan Masyarakat  Desa dan Kelurahan</t>
  </si>
  <si>
    <t>PROGRAM KOORDINASI KETENTRAMAN DAN KETERTIBAN UMUM</t>
  </si>
  <si>
    <t>PROGRAM PENYELENGGARAAN URUSAN PEMERINTAHAN UMUM</t>
  </si>
  <si>
    <t>PROGRAM PEMBINAAN DAN PENGAWASAN PEMERINTAHAN DESA</t>
  </si>
  <si>
    <t>PROGRAM PENYELENGGARAAN  PEMERINTAHAN DAN PELAYANAN PUBLIK</t>
  </si>
  <si>
    <t>Penyediaan Peralatan dan Perlengkapan Kantor</t>
  </si>
  <si>
    <t>Penyediaan jasa pemeliharaan, biaya pemeliharaan dan pajak kendaraan perorangan dinas atau kendaraan dinas jabatan</t>
  </si>
  <si>
    <t>Pembina</t>
  </si>
  <si>
    <t>Pemeliharaan/Rehabilitasi Sarana dan Prasarana Gedung Kantor atau Bangunan Lainnya</t>
  </si>
  <si>
    <t>07.01.01.2.09.10</t>
  </si>
  <si>
    <t>Koordinasi Upaya Penyelenggaraan Ketentraman dan Ketertiban Umum</t>
  </si>
  <si>
    <t>Belanja Pegawai</t>
  </si>
  <si>
    <t>Belanja Barang dan Jasa</t>
  </si>
  <si>
    <t>Modal</t>
  </si>
  <si>
    <t>TOTAL</t>
  </si>
  <si>
    <t>Tahun 2023</t>
  </si>
  <si>
    <t>Penetapan</t>
  </si>
  <si>
    <t>Perubahan</t>
  </si>
  <si>
    <t>Tahun 2024 
(Penetapan)</t>
  </si>
  <si>
    <t>Tahun 2025 
(Pagu Indikatif Renja)</t>
  </si>
  <si>
    <t>Jenis Belanja</t>
  </si>
  <si>
    <t>07.01.01.2.01.07</t>
  </si>
  <si>
    <t>Evaluasi Kinerja Perangkat Daerah</t>
  </si>
  <si>
    <t>Tasikmadu, 10 Februari 2025</t>
  </si>
  <si>
    <t>REALISASI PENGGUNAAN DANA PEKERJAAN/KEGIATAN TAHUN 2025</t>
  </si>
  <si>
    <t>BULAN   : Januari 2025</t>
  </si>
  <si>
    <t>BULAN   : Februari 2025</t>
  </si>
  <si>
    <t>Tasikmadu, 10 Maret 2025</t>
  </si>
  <si>
    <t>BULAN   : MARET 2025</t>
  </si>
  <si>
    <t>Tasikmadu, 10 April 2025</t>
  </si>
  <si>
    <t>CAPAIAN BELANJA (%)</t>
  </si>
  <si>
    <t>ALASAN TIDAK MEMENUHI REALISASI BELAN JA S/D TRIBULAN IV</t>
  </si>
  <si>
    <t>100%</t>
  </si>
  <si>
    <t>Sudah di laksanakan, SPJ Proses GU</t>
  </si>
  <si>
    <t>0%</t>
  </si>
  <si>
    <r>
      <t>0</t>
    </r>
    <r>
      <rPr>
        <strike/>
        <sz val="10"/>
        <rFont val="Calibri"/>
        <family val="2"/>
        <scheme val="minor"/>
      </rPr>
      <t>%</t>
    </r>
  </si>
  <si>
    <t>ANGGARAN</t>
  </si>
  <si>
    <t>REKAPITULASI REALISASI BELANJA S/D MARET 2025</t>
  </si>
  <si>
    <t>REALISASI S/D AKHIR MARET 2025</t>
  </si>
  <si>
    <t>TARGET (25%)</t>
  </si>
  <si>
    <t>25%</t>
  </si>
  <si>
    <r>
      <t>0</t>
    </r>
    <r>
      <rPr>
        <strike/>
        <sz val="10"/>
        <color theme="1"/>
        <rFont val="Calibri"/>
        <family val="2"/>
        <scheme val="minor"/>
      </rPr>
      <t>%</t>
    </r>
  </si>
  <si>
    <t>rencana di laksanakan di tribulan II</t>
  </si>
  <si>
    <t>Sudah di laksanakan sebagaimana seharusnya</t>
  </si>
  <si>
    <t>Sudah di laksanakan, SPJ Proses GU KKI</t>
  </si>
  <si>
    <t>rencana di laksanakan di tribulan III</t>
  </si>
  <si>
    <t>Efisiensi Anggaran</t>
  </si>
  <si>
    <t>Sudah selesai</t>
  </si>
  <si>
    <t>Tasikmadu,       April 2025</t>
  </si>
  <si>
    <t xml:space="preserve">  </t>
  </si>
  <si>
    <t>BULAN   : APRIL 2025</t>
  </si>
  <si>
    <t>Tasikmadu, 07 Mei 2025</t>
  </si>
  <si>
    <t xml:space="preserve"> </t>
  </si>
  <si>
    <t>BULAN   : MEI 2025</t>
  </si>
  <si>
    <t>Tasikmadu, 10 Juni 2025</t>
  </si>
  <si>
    <t>BULAN   : JUNI 2025</t>
  </si>
  <si>
    <t>Tasikmadu, 02 Juli 2025</t>
  </si>
  <si>
    <t>50%</t>
  </si>
  <si>
    <t>TARGET (50%)</t>
  </si>
  <si>
    <t>REALISASI S/D AKHIR JUNI 2025</t>
  </si>
  <si>
    <r>
      <t>50</t>
    </r>
    <r>
      <rPr>
        <strike/>
        <sz val="10"/>
        <rFont val="Calibri"/>
        <family val="2"/>
        <scheme val="minor"/>
      </rPr>
      <t>%</t>
    </r>
  </si>
  <si>
    <r>
      <t>100</t>
    </r>
    <r>
      <rPr>
        <strike/>
        <sz val="10"/>
        <rFont val="Calibri"/>
        <family val="2"/>
        <scheme val="minor"/>
      </rPr>
      <t>%</t>
    </r>
  </si>
  <si>
    <t>REKAPITULASI REALISASI BELANJA S/D JUNI 2025</t>
  </si>
  <si>
    <t>ALASAN TIDAK MEMENUHI REALISASI BELANJA S/D TRIBULAN III</t>
  </si>
  <si>
    <t>rencana di laksanakan di tribulan IV</t>
  </si>
  <si>
    <t>Tasikmadu,       Juli 2025</t>
  </si>
  <si>
    <t>JOKO SETYONO, S.P.</t>
  </si>
  <si>
    <t>BULAN   : JULI 2025</t>
  </si>
  <si>
    <t>Tasikmadu,    September 2025</t>
  </si>
  <si>
    <t>BULAN   : Agustus 2025</t>
  </si>
  <si>
    <t>Tasikmadu,        Agustus 2025</t>
  </si>
  <si>
    <t>BULAN   : September 2025</t>
  </si>
  <si>
    <t>Tasikmadu,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</si>
</sst>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Rp&quot;* #,##0_-;\-&quot;Rp&quot;* #,##0_-;_-&quot;Rp&quot;* &quot;-&quot;_-;_-@_-"/>
    <numFmt numFmtId="41" formatCode="_-* #,##0_-;\-* #,##0_-;_-* &quot;-&quot;_-;_-@_-"/>
    <numFmt numFmtId="164" formatCode="_(* #,##0_);_(* \(#,##0\);_(* &quot;-&quot;_);_(@_)"/>
    <numFmt numFmtId="165" formatCode="_(* #,##0.00_);_(* \(#,##0.00\);_(* &quot;-&quot;??_);_(@_)"/>
    <numFmt numFmtId="166" formatCode="_(* #,##0_);_(* \(#,##0\);_(* &quot;-&quot;??_);_(@_)"/>
    <numFmt numFmtId="167" formatCode="_(* #,##0.000_);_(* \(#,##0.000\);_(* &quot;-&quot;??_);_(@_)"/>
    <numFmt numFmtId="168" formatCode="_([$Rp-421]* #,##0_);_([$Rp-421]* \(#,##0\);_([$Rp-421]* &quot;-&quot;??_);_(@_)"/>
  </numFmts>
  <fonts count="16" x14ac:knownFonts="1">
    <font>
      <sz val="11"/>
      <color theme="1"/>
      <name val="Calibri"/>
      <family val="2"/>
      <charset val="1"/>
      <scheme val="minor"/>
    </font>
    <font>
      <sz val="11"/>
      <color theme="1"/>
      <name val="Calibri"/>
      <family val="2"/>
      <charset val="1"/>
      <scheme val="minor"/>
    </font>
    <font>
      <sz val="11"/>
      <color rgb="FFFF0000"/>
      <name val="Calibri"/>
      <family val="2"/>
      <charset val="1"/>
      <scheme val="minor"/>
    </font>
    <font>
      <sz val="9"/>
      <color theme="1"/>
      <name val="Arial"/>
      <family val="2"/>
    </font>
    <font>
      <sz val="11"/>
      <name val="Calibri"/>
      <family val="2"/>
      <charset val="1"/>
      <scheme val="minor"/>
    </font>
    <font>
      <sz val="10"/>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name val="Calibri"/>
      <family val="2"/>
      <scheme val="minor"/>
    </font>
    <font>
      <b/>
      <i/>
      <sz val="10"/>
      <name val="Calibri"/>
      <family val="2"/>
      <scheme val="minor"/>
    </font>
    <font>
      <b/>
      <sz val="11"/>
      <color theme="1"/>
      <name val="Calibri"/>
      <family val="2"/>
      <scheme val="minor"/>
    </font>
    <font>
      <b/>
      <sz val="9"/>
      <color theme="1"/>
      <name val="Arial"/>
      <family val="2"/>
    </font>
    <font>
      <sz val="14"/>
      <color theme="1"/>
      <name val="Calibri"/>
      <family val="2"/>
      <charset val="1"/>
      <scheme val="minor"/>
    </font>
    <font>
      <strike/>
      <sz val="10"/>
      <name val="Calibri"/>
      <family val="2"/>
      <scheme val="minor"/>
    </font>
    <font>
      <strike/>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254">
    <xf numFmtId="0" fontId="0" fillId="0" borderId="0" xfId="0"/>
    <xf numFmtId="0" fontId="4" fillId="0" borderId="0" xfId="0" applyFont="1" applyAlignment="1">
      <alignment horizontal="center"/>
    </xf>
    <xf numFmtId="168" fontId="4" fillId="0" borderId="0" xfId="0" applyNumberFormat="1" applyFont="1"/>
    <xf numFmtId="166" fontId="0" fillId="0" borderId="0" xfId="0" applyNumberFormat="1" applyAlignment="1">
      <alignment horizontal="center"/>
    </xf>
    <xf numFmtId="0" fontId="4" fillId="0" borderId="0" xfId="0" applyFont="1"/>
    <xf numFmtId="0" fontId="3" fillId="0" borderId="0" xfId="0" applyFont="1"/>
    <xf numFmtId="0" fontId="0" fillId="2" borderId="0" xfId="0" applyFill="1" applyAlignment="1">
      <alignment horizontal="center"/>
    </xf>
    <xf numFmtId="166" fontId="2" fillId="2" borderId="0" xfId="1" applyNumberFormat="1" applyFont="1" applyFill="1"/>
    <xf numFmtId="0" fontId="0" fillId="2" borderId="0" xfId="0" applyFill="1"/>
    <xf numFmtId="168" fontId="5" fillId="0" borderId="6" xfId="0" applyNumberFormat="1" applyFont="1" applyBorder="1" applyAlignment="1">
      <alignment horizontal="center"/>
    </xf>
    <xf numFmtId="168" fontId="5" fillId="0" borderId="5" xfId="0" applyNumberFormat="1" applyFont="1" applyBorder="1" applyAlignment="1">
      <alignment horizontal="center"/>
    </xf>
    <xf numFmtId="168" fontId="5" fillId="0" borderId="7" xfId="0" applyNumberFormat="1" applyFont="1" applyBorder="1" applyAlignment="1">
      <alignment horizontal="center"/>
    </xf>
    <xf numFmtId="0" fontId="6" fillId="0" borderId="4" xfId="0" quotePrefix="1" applyFont="1" applyBorder="1"/>
    <xf numFmtId="0" fontId="6" fillId="0" borderId="3" xfId="0" applyFont="1" applyBorder="1" applyAlignment="1">
      <alignment horizontal="left" vertical="top" wrapText="1"/>
    </xf>
    <xf numFmtId="0" fontId="6" fillId="0" borderId="2" xfId="0" applyFont="1" applyBorder="1" applyAlignment="1">
      <alignment vertical="center"/>
    </xf>
    <xf numFmtId="0" fontId="6" fillId="0" borderId="2" xfId="0" quotePrefix="1" applyFont="1" applyBorder="1" applyAlignment="1">
      <alignment horizontal="left" vertical="top" wrapText="1"/>
    </xf>
    <xf numFmtId="0" fontId="6" fillId="0" borderId="2" xfId="0" applyFont="1" applyBorder="1" applyAlignment="1">
      <alignment horizontal="left" vertical="top" wrapText="1"/>
    </xf>
    <xf numFmtId="0" fontId="6" fillId="0" borderId="2" xfId="0" quotePrefix="1" applyFont="1" applyBorder="1"/>
    <xf numFmtId="0" fontId="6" fillId="3" borderId="1" xfId="0" applyFont="1" applyFill="1" applyBorder="1" applyAlignment="1">
      <alignment horizontal="center" vertical="center"/>
    </xf>
    <xf numFmtId="0" fontId="7" fillId="3" borderId="1" xfId="0" applyFont="1" applyFill="1" applyBorder="1" applyAlignment="1">
      <alignment horizontal="left" vertical="top" wrapText="1"/>
    </xf>
    <xf numFmtId="10" fontId="7" fillId="3" borderId="1" xfId="0" applyNumberFormat="1" applyFont="1" applyFill="1" applyBorder="1" applyAlignment="1">
      <alignment horizontal="center" vertical="center"/>
    </xf>
    <xf numFmtId="165" fontId="7" fillId="3" borderId="1" xfId="1" applyFont="1" applyFill="1" applyBorder="1" applyAlignment="1">
      <alignment horizontal="center" vertical="center"/>
    </xf>
    <xf numFmtId="0" fontId="8" fillId="3" borderId="1" xfId="0" applyFont="1" applyFill="1" applyBorder="1" applyAlignment="1">
      <alignment horizontal="left" vertical="center" wrapText="1"/>
    </xf>
    <xf numFmtId="10" fontId="8" fillId="3" borderId="1" xfId="0" applyNumberFormat="1" applyFont="1" applyFill="1" applyBorder="1" applyAlignment="1">
      <alignment horizontal="center" vertical="center"/>
    </xf>
    <xf numFmtId="165" fontId="6" fillId="3" borderId="1" xfId="1" applyFont="1" applyFill="1" applyBorder="1" applyAlignment="1">
      <alignment horizontal="center" vertical="center"/>
    </xf>
    <xf numFmtId="0" fontId="6" fillId="4" borderId="2" xfId="0" applyFont="1" applyFill="1" applyBorder="1" applyAlignment="1">
      <alignment horizontal="center" vertical="center"/>
    </xf>
    <xf numFmtId="0" fontId="8" fillId="4" borderId="2"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10" fontId="8" fillId="4" borderId="1" xfId="0" applyNumberFormat="1" applyFont="1" applyFill="1" applyBorder="1" applyAlignment="1">
      <alignment horizontal="center" vertical="center"/>
    </xf>
    <xf numFmtId="10" fontId="8" fillId="4" borderId="2" xfId="0" applyNumberFormat="1" applyFont="1" applyFill="1" applyBorder="1" applyAlignment="1">
      <alignment horizontal="center" vertical="center"/>
    </xf>
    <xf numFmtId="165" fontId="8" fillId="4" borderId="2" xfId="1" applyFont="1" applyFill="1" applyBorder="1" applyAlignment="1">
      <alignment horizontal="center" vertical="center"/>
    </xf>
    <xf numFmtId="0" fontId="6" fillId="4" borderId="1" xfId="0" applyFont="1" applyFill="1" applyBorder="1" applyAlignment="1">
      <alignment horizontal="center" vertical="center"/>
    </xf>
    <xf numFmtId="0" fontId="8" fillId="4" borderId="1" xfId="0" applyFont="1" applyFill="1" applyBorder="1" applyAlignment="1">
      <alignment vertical="center" wrapText="1"/>
    </xf>
    <xf numFmtId="165" fontId="6" fillId="4" borderId="1" xfId="1" applyFont="1" applyFill="1" applyBorder="1" applyAlignment="1">
      <alignment horizontal="center" vertical="center"/>
    </xf>
    <xf numFmtId="0" fontId="8" fillId="4" borderId="1" xfId="0" applyFont="1" applyFill="1" applyBorder="1" applyAlignment="1">
      <alignment horizontal="left" vertical="top" wrapText="1"/>
    </xf>
    <xf numFmtId="165" fontId="6" fillId="4" borderId="2" xfId="1" applyFont="1" applyFill="1" applyBorder="1" applyAlignment="1">
      <alignment horizontal="center" vertical="center"/>
    </xf>
    <xf numFmtId="165" fontId="8" fillId="4" borderId="1" xfId="1" applyFont="1" applyFill="1" applyBorder="1" applyAlignment="1">
      <alignment horizontal="center" vertical="center"/>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165" fontId="8" fillId="4" borderId="3" xfId="1" applyFont="1" applyFill="1" applyBorder="1" applyAlignment="1">
      <alignment horizontal="center" vertical="center"/>
    </xf>
    <xf numFmtId="0" fontId="6" fillId="5" borderId="1" xfId="0" applyFont="1" applyFill="1" applyBorder="1" applyAlignment="1">
      <alignment horizontal="center" vertical="center"/>
    </xf>
    <xf numFmtId="0" fontId="7" fillId="5" borderId="1" xfId="0" applyFont="1" applyFill="1" applyBorder="1" applyAlignment="1">
      <alignment horizontal="left" vertical="top" wrapText="1"/>
    </xf>
    <xf numFmtId="165" fontId="7" fillId="5" borderId="1" xfId="1" applyFont="1" applyFill="1" applyBorder="1" applyAlignment="1">
      <alignment horizontal="center" vertical="center"/>
    </xf>
    <xf numFmtId="9" fontId="6" fillId="3" borderId="1" xfId="0" applyNumberFormat="1" applyFont="1" applyFill="1" applyBorder="1" applyAlignment="1">
      <alignment horizontal="center" vertical="center"/>
    </xf>
    <xf numFmtId="164" fontId="0" fillId="0" borderId="0" xfId="0" applyNumberFormat="1"/>
    <xf numFmtId="9" fontId="8" fillId="3" borderId="1" xfId="0" applyNumberFormat="1" applyFont="1" applyFill="1" applyBorder="1" applyAlignment="1">
      <alignment horizontal="center" vertical="center"/>
    </xf>
    <xf numFmtId="9" fontId="8" fillId="4" borderId="1" xfId="0" applyNumberFormat="1" applyFont="1" applyFill="1" applyBorder="1" applyAlignment="1">
      <alignment horizontal="center" vertical="center"/>
    </xf>
    <xf numFmtId="9" fontId="6" fillId="4"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10" fontId="8" fillId="5" borderId="1" xfId="0" applyNumberFormat="1" applyFont="1" applyFill="1" applyBorder="1" applyAlignment="1">
      <alignment horizontal="center" vertical="center"/>
    </xf>
    <xf numFmtId="164" fontId="9" fillId="5" borderId="1" xfId="2" applyFont="1" applyFill="1" applyBorder="1" applyAlignment="1">
      <alignment horizontal="center" vertical="center"/>
    </xf>
    <xf numFmtId="164" fontId="10" fillId="5" borderId="1" xfId="2" applyFont="1" applyFill="1" applyBorder="1" applyAlignment="1">
      <alignment horizontal="center" vertical="center"/>
    </xf>
    <xf numFmtId="164" fontId="9" fillId="3" borderId="1" xfId="2" applyFont="1" applyFill="1" applyBorder="1" applyAlignment="1">
      <alignment horizontal="center" vertical="center"/>
    </xf>
    <xf numFmtId="164" fontId="9" fillId="4" borderId="5" xfId="2" applyFont="1" applyFill="1" applyBorder="1" applyAlignment="1">
      <alignment horizontal="center" vertical="center"/>
    </xf>
    <xf numFmtId="164" fontId="8" fillId="4" borderId="5" xfId="2" applyFont="1" applyFill="1" applyBorder="1" applyAlignment="1">
      <alignment vertical="center"/>
    </xf>
    <xf numFmtId="164" fontId="8" fillId="4" borderId="1" xfId="2" applyFont="1" applyFill="1" applyBorder="1" applyAlignment="1">
      <alignment vertical="center"/>
    </xf>
    <xf numFmtId="164" fontId="9" fillId="4" borderId="1" xfId="2" applyFont="1" applyFill="1" applyBorder="1" applyAlignment="1">
      <alignment horizontal="center" vertical="center"/>
    </xf>
    <xf numFmtId="164" fontId="10" fillId="3" borderId="1" xfId="2" applyFont="1" applyFill="1" applyBorder="1" applyAlignment="1">
      <alignment horizontal="center" vertical="center"/>
    </xf>
    <xf numFmtId="164" fontId="9" fillId="4" borderId="2" xfId="2" applyFont="1" applyFill="1" applyBorder="1" applyAlignment="1">
      <alignment horizontal="center" vertical="center"/>
    </xf>
    <xf numFmtId="164" fontId="9" fillId="4" borderId="3" xfId="2" applyFont="1" applyFill="1" applyBorder="1" applyAlignment="1">
      <alignment horizontal="center" vertical="center"/>
    </xf>
    <xf numFmtId="164" fontId="1" fillId="0" borderId="0" xfId="2" applyFont="1"/>
    <xf numFmtId="164" fontId="1" fillId="2" borderId="0" xfId="2" applyFont="1" applyFill="1"/>
    <xf numFmtId="164" fontId="0" fillId="2" borderId="0" xfId="0" applyNumberFormat="1" applyFill="1"/>
    <xf numFmtId="0" fontId="6" fillId="0" borderId="4" xfId="0" quotePrefix="1" applyFont="1" applyBorder="1" applyAlignment="1">
      <alignment horizontal="left" vertical="top" wrapText="1"/>
    </xf>
    <xf numFmtId="0" fontId="6" fillId="4" borderId="3" xfId="0" applyFont="1" applyFill="1" applyBorder="1" applyAlignment="1">
      <alignment horizontal="center" vertical="center"/>
    </xf>
    <xf numFmtId="10" fontId="6" fillId="4" borderId="1" xfId="0" applyNumberFormat="1" applyFont="1" applyFill="1" applyBorder="1" applyAlignment="1">
      <alignment horizontal="center" vertical="center"/>
    </xf>
    <xf numFmtId="10" fontId="8" fillId="4" borderId="2" xfId="0" applyNumberFormat="1" applyFont="1" applyFill="1" applyBorder="1" applyAlignment="1">
      <alignment horizontal="center" vertical="center" wrapText="1"/>
    </xf>
    <xf numFmtId="10" fontId="6" fillId="3" borderId="1" xfId="0" applyNumberFormat="1" applyFont="1" applyFill="1" applyBorder="1" applyAlignment="1">
      <alignment horizontal="center" vertical="center"/>
    </xf>
    <xf numFmtId="166" fontId="4" fillId="2" borderId="0" xfId="1" applyNumberFormat="1" applyFont="1" applyFill="1"/>
    <xf numFmtId="164" fontId="2" fillId="2" borderId="0" xfId="0" applyNumberFormat="1" applyFont="1" applyFill="1"/>
    <xf numFmtId="166" fontId="1" fillId="2" borderId="0" xfId="1" applyNumberFormat="1" applyFont="1" applyFill="1"/>
    <xf numFmtId="10" fontId="6" fillId="5" borderId="1" xfId="0" applyNumberFormat="1" applyFont="1" applyFill="1" applyBorder="1" applyAlignment="1">
      <alignment horizontal="center" vertical="center" wrapText="1"/>
    </xf>
    <xf numFmtId="0" fontId="0" fillId="5" borderId="0" xfId="0" applyFill="1"/>
    <xf numFmtId="0" fontId="6" fillId="0" borderId="4" xfId="0" applyFont="1" applyBorder="1" applyAlignment="1">
      <alignment horizontal="left" vertical="top" wrapText="1"/>
    </xf>
    <xf numFmtId="0" fontId="6" fillId="0" borderId="3" xfId="0" applyFont="1" applyBorder="1" applyAlignment="1">
      <alignment vertical="center" wrapText="1"/>
    </xf>
    <xf numFmtId="0" fontId="8" fillId="4" borderId="2" xfId="0" applyFont="1" applyFill="1" applyBorder="1" applyAlignment="1">
      <alignment vertical="center" wrapText="1"/>
    </xf>
    <xf numFmtId="42" fontId="0" fillId="0" borderId="0" xfId="0" applyNumberFormat="1"/>
    <xf numFmtId="164" fontId="4" fillId="0" borderId="0" xfId="0" applyNumberFormat="1" applyFont="1"/>
    <xf numFmtId="0" fontId="0" fillId="0" borderId="0" xfId="0" applyFill="1"/>
    <xf numFmtId="9" fontId="9" fillId="3" borderId="1" xfId="2" applyNumberFormat="1" applyFont="1" applyFill="1" applyBorder="1" applyAlignment="1">
      <alignment horizontal="center" vertical="center"/>
    </xf>
    <xf numFmtId="41" fontId="13" fillId="0" borderId="0" xfId="0" applyNumberFormat="1" applyFont="1"/>
    <xf numFmtId="0" fontId="13" fillId="0" borderId="0" xfId="0" applyFont="1"/>
    <xf numFmtId="41" fontId="13" fillId="0" borderId="1" xfId="0" applyNumberFormat="1" applyFont="1" applyBorder="1" applyAlignment="1">
      <alignment horizontal="center"/>
    </xf>
    <xf numFmtId="0" fontId="13" fillId="0" borderId="1" xfId="0" applyFont="1" applyBorder="1"/>
    <xf numFmtId="41" fontId="13" fillId="0" borderId="1" xfId="0" applyNumberFormat="1" applyFont="1" applyBorder="1"/>
    <xf numFmtId="0" fontId="6" fillId="0" borderId="3" xfId="0" applyFont="1" applyBorder="1" applyAlignment="1">
      <alignment horizontal="left" vertical="center" wrapText="1"/>
    </xf>
    <xf numFmtId="0" fontId="7" fillId="3" borderId="1" xfId="0" applyFont="1" applyFill="1" applyBorder="1" applyAlignment="1">
      <alignment horizontal="left" vertical="center"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9" fillId="5" borderId="1" xfId="2" quotePrefix="1" applyFont="1" applyFill="1" applyBorder="1" applyAlignment="1">
      <alignment horizontal="center" vertical="center"/>
    </xf>
    <xf numFmtId="164" fontId="9" fillId="4" borderId="5" xfId="2" quotePrefix="1"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xf numFmtId="164" fontId="8" fillId="4" borderId="5" xfId="0" applyNumberFormat="1" applyFont="1" applyFill="1" applyBorder="1" applyAlignment="1">
      <alignment horizontal="left" vertical="center" wrapText="1"/>
    </xf>
    <xf numFmtId="164" fontId="8" fillId="4" borderId="5" xfId="0" applyNumberFormat="1" applyFont="1" applyFill="1" applyBorder="1" applyAlignment="1">
      <alignment vertical="center" wrapText="1"/>
    </xf>
    <xf numFmtId="164" fontId="8" fillId="4" borderId="5" xfId="0" applyNumberFormat="1" applyFont="1" applyFill="1" applyBorder="1" applyAlignment="1">
      <alignment horizontal="left" vertical="top" wrapText="1"/>
    </xf>
    <xf numFmtId="164" fontId="7" fillId="5" borderId="1" xfId="0" applyNumberFormat="1" applyFont="1" applyFill="1" applyBorder="1" applyAlignment="1">
      <alignment horizontal="left" vertical="center" wrapText="1"/>
    </xf>
    <xf numFmtId="164" fontId="7" fillId="3" borderId="1" xfId="0" applyNumberFormat="1" applyFont="1" applyFill="1" applyBorder="1" applyAlignment="1">
      <alignment horizontal="left" vertical="top" wrapText="1"/>
    </xf>
    <xf numFmtId="164" fontId="8" fillId="3" borderId="1" xfId="0" applyNumberFormat="1"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164" fontId="7" fillId="5" borderId="1" xfId="0" applyNumberFormat="1" applyFont="1" applyFill="1" applyBorder="1" applyAlignment="1">
      <alignment horizontal="left" vertical="top" wrapText="1"/>
    </xf>
    <xf numFmtId="9" fontId="6" fillId="3" borderId="1" xfId="0" quotePrefix="1" applyNumberFormat="1" applyFont="1" applyFill="1" applyBorder="1" applyAlignment="1">
      <alignment horizontal="center" vertical="center"/>
    </xf>
    <xf numFmtId="9" fontId="6" fillId="4" borderId="1" xfId="0" quotePrefix="1" applyNumberFormat="1" applyFont="1" applyFill="1" applyBorder="1" applyAlignment="1">
      <alignment horizontal="center" vertical="center"/>
    </xf>
    <xf numFmtId="9" fontId="8" fillId="4" borderId="1" xfId="0" quotePrefix="1" applyNumberFormat="1" applyFont="1" applyFill="1" applyBorder="1" applyAlignment="1">
      <alignment horizontal="center" vertical="center"/>
    </xf>
    <xf numFmtId="9" fontId="8" fillId="3" borderId="1" xfId="0" quotePrefix="1" applyNumberFormat="1" applyFont="1" applyFill="1" applyBorder="1" applyAlignment="1">
      <alignment horizontal="center" vertical="center"/>
    </xf>
    <xf numFmtId="10" fontId="8" fillId="3" borderId="1" xfId="0" quotePrefix="1" applyNumberFormat="1" applyFont="1" applyFill="1" applyBorder="1" applyAlignment="1">
      <alignment horizontal="center" vertical="center"/>
    </xf>
    <xf numFmtId="10" fontId="8" fillId="4" borderId="1" xfId="0" quotePrefix="1"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3" fillId="0" borderId="0" xfId="0" applyFont="1" applyAlignment="1">
      <alignment horizontal="center"/>
    </xf>
    <xf numFmtId="0" fontId="0" fillId="0" borderId="0" xfId="0" applyAlignment="1">
      <alignment horizontal="right"/>
    </xf>
    <xf numFmtId="10" fontId="8" fillId="5" borderId="1" xfId="0" applyNumberFormat="1" applyFont="1" applyFill="1" applyBorder="1" applyAlignment="1">
      <alignment horizontal="right" vertical="center"/>
    </xf>
    <xf numFmtId="10" fontId="8" fillId="4" borderId="1" xfId="0" applyNumberFormat="1" applyFont="1" applyFill="1" applyBorder="1" applyAlignment="1">
      <alignment horizontal="right" vertical="center"/>
    </xf>
    <xf numFmtId="10" fontId="6" fillId="4" borderId="1" xfId="0" applyNumberFormat="1" applyFont="1" applyFill="1" applyBorder="1" applyAlignment="1">
      <alignment horizontal="right" vertical="center"/>
    </xf>
    <xf numFmtId="9" fontId="6" fillId="4" borderId="1" xfId="0" applyNumberFormat="1" applyFont="1" applyFill="1" applyBorder="1" applyAlignment="1">
      <alignment horizontal="right" vertical="center"/>
    </xf>
    <xf numFmtId="9" fontId="6" fillId="3" borderId="1" xfId="0" quotePrefix="1" applyNumberFormat="1" applyFont="1" applyFill="1" applyBorder="1" applyAlignment="1">
      <alignment horizontal="right" vertical="center"/>
    </xf>
    <xf numFmtId="9" fontId="6" fillId="4" borderId="1" xfId="0" quotePrefix="1" applyNumberFormat="1" applyFont="1" applyFill="1" applyBorder="1" applyAlignment="1">
      <alignment horizontal="right" vertical="center"/>
    </xf>
    <xf numFmtId="9" fontId="9" fillId="3" borderId="1" xfId="2" applyNumberFormat="1" applyFont="1" applyFill="1" applyBorder="1" applyAlignment="1">
      <alignment horizontal="right" vertical="center"/>
    </xf>
    <xf numFmtId="9" fontId="8" fillId="3" borderId="1" xfId="0" applyNumberFormat="1" applyFont="1" applyFill="1" applyBorder="1" applyAlignment="1">
      <alignment horizontal="right" vertical="center"/>
    </xf>
    <xf numFmtId="9" fontId="8" fillId="4" borderId="1" xfId="0" applyNumberFormat="1" applyFont="1" applyFill="1" applyBorder="1" applyAlignment="1">
      <alignment horizontal="right" vertical="center"/>
    </xf>
    <xf numFmtId="9" fontId="8" fillId="3" borderId="1" xfId="0" quotePrefix="1" applyNumberFormat="1" applyFont="1" applyFill="1" applyBorder="1" applyAlignment="1">
      <alignment horizontal="right" vertical="center"/>
    </xf>
    <xf numFmtId="9" fontId="8" fillId="4" borderId="1" xfId="0" quotePrefix="1" applyNumberFormat="1" applyFont="1" applyFill="1" applyBorder="1" applyAlignment="1">
      <alignment horizontal="right" vertical="center"/>
    </xf>
    <xf numFmtId="10" fontId="8" fillId="3" borderId="1" xfId="0" quotePrefix="1" applyNumberFormat="1" applyFont="1" applyFill="1" applyBorder="1" applyAlignment="1">
      <alignment horizontal="right" vertical="center"/>
    </xf>
    <xf numFmtId="10" fontId="8" fillId="4" borderId="1" xfId="0" quotePrefix="1" applyNumberFormat="1" applyFont="1" applyFill="1" applyBorder="1" applyAlignment="1">
      <alignment horizontal="right" vertical="center"/>
    </xf>
    <xf numFmtId="164" fontId="9" fillId="4" borderId="1" xfId="2" quotePrefix="1" applyFont="1" applyFill="1" applyBorder="1" applyAlignment="1">
      <alignment horizontal="center" vertical="center"/>
    </xf>
    <xf numFmtId="164" fontId="8" fillId="4" borderId="1" xfId="0" applyNumberFormat="1" applyFont="1" applyFill="1" applyBorder="1" applyAlignment="1">
      <alignment horizontal="left" vertical="center" wrapText="1"/>
    </xf>
    <xf numFmtId="164" fontId="8" fillId="4" borderId="1" xfId="0" applyNumberFormat="1" applyFont="1" applyFill="1" applyBorder="1" applyAlignment="1">
      <alignment vertical="center" wrapText="1"/>
    </xf>
    <xf numFmtId="164" fontId="8" fillId="4" borderId="1" xfId="0" applyNumberFormat="1" applyFont="1" applyFill="1" applyBorder="1" applyAlignment="1">
      <alignment horizontal="left" vertical="top" wrapText="1"/>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0" fillId="0" borderId="0" xfId="0" applyAlignment="1">
      <alignment horizontal="center"/>
    </xf>
    <xf numFmtId="165" fontId="6" fillId="0" borderId="4" xfId="1" applyFont="1" applyBorder="1" applyAlignment="1">
      <alignment horizontal="center" vertical="center"/>
    </xf>
    <xf numFmtId="165" fontId="6" fillId="0" borderId="12" xfId="1" applyFont="1" applyBorder="1" applyAlignment="1">
      <alignment horizontal="center" vertical="center"/>
    </xf>
    <xf numFmtId="0" fontId="3" fillId="0" borderId="0" xfId="0" applyFont="1" applyAlignment="1">
      <alignment horizontal="center"/>
    </xf>
    <xf numFmtId="0" fontId="12" fillId="0" borderId="0" xfId="0" applyFont="1" applyAlignment="1">
      <alignment horizontal="center"/>
    </xf>
    <xf numFmtId="10" fontId="8" fillId="0" borderId="4" xfId="0" applyNumberFormat="1" applyFont="1" applyBorder="1" applyAlignment="1">
      <alignment horizontal="center" vertical="center"/>
    </xf>
    <xf numFmtId="10" fontId="8" fillId="0" borderId="12" xfId="0" applyNumberFormat="1" applyFont="1" applyBorder="1" applyAlignment="1">
      <alignment horizontal="center" vertical="center"/>
    </xf>
    <xf numFmtId="164" fontId="9" fillId="0" borderId="4" xfId="2" applyFont="1" applyBorder="1" applyAlignment="1">
      <alignment horizontal="center" vertical="center"/>
    </xf>
    <xf numFmtId="164" fontId="9" fillId="0" borderId="12" xfId="2" applyFont="1" applyBorder="1" applyAlignment="1">
      <alignment horizontal="center" vertical="center"/>
    </xf>
    <xf numFmtId="0" fontId="6" fillId="0" borderId="4" xfId="0" applyFont="1" applyBorder="1" applyAlignment="1">
      <alignment horizontal="center"/>
    </xf>
    <xf numFmtId="0" fontId="6" fillId="0" borderId="12" xfId="0" applyFont="1" applyBorder="1" applyAlignment="1">
      <alignment horizont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164" fontId="9" fillId="2" borderId="4" xfId="2" applyFont="1" applyFill="1" applyBorder="1" applyAlignment="1">
      <alignment horizontal="center" vertical="center"/>
    </xf>
    <xf numFmtId="164" fontId="9" fillId="2" borderId="12" xfId="2" applyFont="1" applyFill="1" applyBorder="1" applyAlignment="1">
      <alignment horizontal="center" vertical="center"/>
    </xf>
    <xf numFmtId="0" fontId="0" fillId="0" borderId="0" xfId="0" applyAlignment="1">
      <alignment horizontal="center"/>
    </xf>
    <xf numFmtId="164" fontId="0" fillId="0" borderId="11" xfId="0" applyNumberFormat="1" applyBorder="1" applyAlignment="1">
      <alignment horizontal="center"/>
    </xf>
    <xf numFmtId="0" fontId="0" fillId="0" borderId="11" xfId="0" applyBorder="1" applyAlignment="1">
      <alignment horizontal="center"/>
    </xf>
    <xf numFmtId="164" fontId="6" fillId="0" borderId="2" xfId="2" applyFont="1" applyBorder="1" applyAlignment="1">
      <alignment horizontal="center" vertical="center"/>
    </xf>
    <xf numFmtId="164" fontId="6" fillId="0" borderId="3" xfId="2" applyFont="1" applyBorder="1" applyAlignment="1">
      <alignment horizontal="center" vertical="center"/>
    </xf>
    <xf numFmtId="164" fontId="6" fillId="2" borderId="2" xfId="2" applyFont="1" applyFill="1" applyBorder="1" applyAlignment="1">
      <alignment horizontal="center" vertical="center"/>
    </xf>
    <xf numFmtId="164" fontId="6" fillId="2" borderId="3" xfId="2" applyFont="1" applyFill="1" applyBorder="1" applyAlignment="1">
      <alignment horizontal="center" vertical="center"/>
    </xf>
    <xf numFmtId="164" fontId="6" fillId="0" borderId="4" xfId="2" applyFont="1" applyBorder="1" applyAlignment="1">
      <alignment horizontal="center" vertical="center"/>
    </xf>
    <xf numFmtId="10" fontId="6" fillId="0" borderId="2" xfId="1" applyNumberFormat="1" applyFont="1" applyBorder="1" applyAlignment="1">
      <alignment horizontal="center" vertical="center"/>
    </xf>
    <xf numFmtId="10" fontId="6" fillId="0" borderId="3" xfId="1" applyNumberFormat="1" applyFont="1" applyBorder="1" applyAlignment="1">
      <alignment horizontal="center" vertical="center"/>
    </xf>
    <xf numFmtId="10" fontId="6" fillId="0" borderId="2" xfId="0" applyNumberFormat="1" applyFont="1" applyBorder="1" applyAlignment="1">
      <alignment horizontal="center" vertical="center"/>
    </xf>
    <xf numFmtId="10" fontId="6" fillId="0" borderId="3" xfId="0" applyNumberFormat="1" applyFont="1" applyBorder="1" applyAlignment="1">
      <alignment horizontal="center" vertical="center"/>
    </xf>
    <xf numFmtId="165" fontId="6" fillId="0" borderId="2" xfId="1"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64" fontId="5" fillId="0" borderId="2" xfId="2" applyFont="1" applyBorder="1" applyAlignment="1">
      <alignment horizontal="center" vertical="center"/>
    </xf>
    <xf numFmtId="164" fontId="5" fillId="0" borderId="3" xfId="2" applyFont="1" applyBorder="1" applyAlignment="1">
      <alignment horizontal="center" vertical="center"/>
    </xf>
    <xf numFmtId="10" fontId="6" fillId="0" borderId="4" xfId="1" applyNumberFormat="1" applyFont="1" applyBorder="1" applyAlignment="1">
      <alignment horizontal="center" vertical="center"/>
    </xf>
    <xf numFmtId="10" fontId="6" fillId="0" borderId="4" xfId="0" applyNumberFormat="1" applyFont="1" applyBorder="1" applyAlignment="1">
      <alignment horizontal="center" vertical="center"/>
    </xf>
    <xf numFmtId="165" fontId="6" fillId="0" borderId="3" xfId="1" applyFont="1" applyBorder="1" applyAlignment="1">
      <alignment horizontal="center" vertical="center"/>
    </xf>
    <xf numFmtId="164" fontId="5" fillId="0" borderId="4" xfId="2" applyFont="1" applyBorder="1" applyAlignment="1">
      <alignment horizontal="center" vertical="center"/>
    </xf>
    <xf numFmtId="164" fontId="6" fillId="2" borderId="4" xfId="2" applyFont="1" applyFill="1" applyBorder="1" applyAlignment="1">
      <alignment horizontal="center" vertical="center"/>
    </xf>
    <xf numFmtId="164" fontId="6" fillId="0" borderId="1" xfId="2" applyFont="1" applyBorder="1" applyAlignment="1">
      <alignment horizontal="center" vertical="center"/>
    </xf>
    <xf numFmtId="167" fontId="6" fillId="0" borderId="4" xfId="1" applyNumberFormat="1" applyFont="1" applyBorder="1" applyAlignment="1">
      <alignment horizontal="center" vertical="center"/>
    </xf>
    <xf numFmtId="167" fontId="6" fillId="0" borderId="3" xfId="1" applyNumberFormat="1" applyFont="1" applyBorder="1" applyAlignment="1">
      <alignment horizontal="center" vertical="center"/>
    </xf>
    <xf numFmtId="0" fontId="6" fillId="0" borderId="2" xfId="0" applyFont="1" applyBorder="1" applyAlignment="1">
      <alignment horizontal="center" vertical="center"/>
    </xf>
    <xf numFmtId="164" fontId="5" fillId="0" borderId="5" xfId="2" applyFont="1" applyBorder="1" applyAlignment="1">
      <alignment horizontal="center" vertical="center"/>
    </xf>
    <xf numFmtId="164" fontId="5" fillId="0" borderId="7" xfId="2" applyFont="1" applyBorder="1" applyAlignment="1">
      <alignment horizontal="center" vertical="center"/>
    </xf>
    <xf numFmtId="164" fontId="5" fillId="0" borderId="6" xfId="2" applyFont="1" applyBorder="1" applyAlignment="1">
      <alignment horizontal="center" vertical="center"/>
    </xf>
    <xf numFmtId="10" fontId="6" fillId="0" borderId="1" xfId="0" applyNumberFormat="1" applyFont="1" applyBorder="1" applyAlignment="1">
      <alignment horizontal="center" vertical="center"/>
    </xf>
    <xf numFmtId="9" fontId="6" fillId="0" borderId="1" xfId="1" applyNumberFormat="1" applyFont="1" applyBorder="1" applyAlignment="1">
      <alignment horizontal="center" vertical="center"/>
    </xf>
    <xf numFmtId="9" fontId="6" fillId="0" borderId="1"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3" xfId="0" applyNumberFormat="1" applyFont="1" applyBorder="1" applyAlignment="1">
      <alignment horizontal="center" vertical="center"/>
    </xf>
    <xf numFmtId="9" fontId="6" fillId="0" borderId="2" xfId="1" applyNumberFormat="1" applyFont="1" applyBorder="1" applyAlignment="1">
      <alignment horizontal="center" vertical="center"/>
    </xf>
    <xf numFmtId="9" fontId="6" fillId="0" borderId="2" xfId="0" applyNumberFormat="1" applyFont="1" applyBorder="1" applyAlignment="1">
      <alignment horizontal="center" vertical="center"/>
    </xf>
    <xf numFmtId="164" fontId="5" fillId="2" borderId="4" xfId="2" applyFont="1" applyFill="1" applyBorder="1" applyAlignment="1">
      <alignment horizontal="center" vertical="center"/>
    </xf>
    <xf numFmtId="164" fontId="5" fillId="2" borderId="2" xfId="2" applyFont="1" applyFill="1" applyBorder="1" applyAlignment="1">
      <alignment horizontal="center" vertical="center"/>
    </xf>
    <xf numFmtId="164" fontId="6" fillId="0" borderId="3" xfId="2" applyFont="1" applyBorder="1"/>
    <xf numFmtId="164" fontId="6" fillId="2" borderId="4" xfId="2" applyFont="1" applyFill="1" applyBorder="1" applyAlignment="1">
      <alignment horizontal="right" vertical="center"/>
    </xf>
    <xf numFmtId="164" fontId="6" fillId="2" borderId="3" xfId="2" applyFont="1" applyFill="1" applyBorder="1" applyAlignment="1">
      <alignment horizontal="right" vertical="center"/>
    </xf>
    <xf numFmtId="166" fontId="6" fillId="2" borderId="4" xfId="1" applyNumberFormat="1" applyFont="1" applyFill="1" applyBorder="1" applyAlignment="1">
      <alignment horizontal="center" vertical="center" wrapText="1"/>
    </xf>
    <xf numFmtId="166" fontId="6" fillId="2" borderId="3" xfId="1" applyNumberFormat="1" applyFont="1" applyFill="1" applyBorder="1" applyAlignment="1">
      <alignment horizontal="center" vertical="center" wrapText="1"/>
    </xf>
    <xf numFmtId="166" fontId="6" fillId="0" borderId="4" xfId="1" applyNumberFormat="1" applyFont="1" applyBorder="1" applyAlignment="1">
      <alignment horizontal="center" vertical="center" wrapText="1"/>
    </xf>
    <xf numFmtId="166" fontId="6" fillId="0" borderId="3" xfId="1" applyNumberFormat="1" applyFont="1" applyBorder="1" applyAlignment="1">
      <alignment horizontal="center" vertical="center" wrapText="1"/>
    </xf>
    <xf numFmtId="0" fontId="11" fillId="0" borderId="0" xfId="0" applyFont="1" applyAlignment="1">
      <alignment horizontal="center"/>
    </xf>
    <xf numFmtId="0" fontId="0" fillId="0" borderId="0" xfId="0" applyAlignment="1">
      <alignment horizontal="left"/>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66" fontId="6" fillId="0" borderId="8" xfId="1" applyNumberFormat="1" applyFont="1" applyBorder="1" applyAlignment="1">
      <alignment horizontal="center"/>
    </xf>
    <xf numFmtId="166" fontId="6" fillId="0" borderId="9" xfId="1" applyNumberFormat="1" applyFont="1" applyBorder="1" applyAlignment="1">
      <alignment horizontal="center"/>
    </xf>
    <xf numFmtId="166" fontId="6" fillId="0" borderId="10" xfId="1" applyNumberFormat="1" applyFont="1" applyBorder="1" applyAlignment="1">
      <alignment horizontal="center"/>
    </xf>
    <xf numFmtId="164" fontId="5" fillId="0" borderId="1" xfId="2" applyFont="1" applyBorder="1" applyAlignment="1">
      <alignment horizontal="center" vertical="center"/>
    </xf>
    <xf numFmtId="164" fontId="5" fillId="0" borderId="1" xfId="2" quotePrefix="1" applyFont="1" applyBorder="1" applyAlignment="1">
      <alignment horizontal="center" vertical="center"/>
    </xf>
    <xf numFmtId="10" fontId="6" fillId="0" borderId="1" xfId="0" applyNumberFormat="1" applyFont="1" applyBorder="1" applyAlignment="1">
      <alignment horizontal="right" vertical="center"/>
    </xf>
    <xf numFmtId="165" fontId="6" fillId="0" borderId="1" xfId="1" applyFont="1" applyBorder="1" applyAlignment="1">
      <alignment horizontal="center" vertical="center"/>
    </xf>
    <xf numFmtId="0" fontId="6" fillId="0" borderId="1" xfId="0" applyFont="1" applyBorder="1" applyAlignment="1">
      <alignment horizontal="center" vertical="center" wrapText="1"/>
    </xf>
    <xf numFmtId="168" fontId="5" fillId="0" borderId="1" xfId="0" applyNumberFormat="1" applyFont="1" applyBorder="1" applyAlignment="1">
      <alignment horizontal="center" vertical="center"/>
    </xf>
    <xf numFmtId="166" fontId="6" fillId="0" borderId="1" xfId="1" applyNumberFormat="1" applyFont="1" applyBorder="1" applyAlignment="1">
      <alignment horizontal="center" vertical="center" wrapText="1"/>
    </xf>
    <xf numFmtId="164" fontId="6" fillId="0" borderId="1" xfId="2" applyFont="1" applyBorder="1"/>
    <xf numFmtId="9" fontId="6" fillId="0" borderId="1" xfId="0" applyNumberFormat="1" applyFont="1" applyBorder="1" applyAlignment="1">
      <alignment horizontal="right" vertical="center"/>
    </xf>
    <xf numFmtId="9" fontId="6" fillId="0" borderId="4" xfId="0" applyNumberFormat="1" applyFont="1" applyBorder="1" applyAlignment="1">
      <alignment horizontal="right" vertical="center"/>
    </xf>
    <xf numFmtId="9" fontId="6" fillId="0" borderId="3" xfId="0" applyNumberFormat="1" applyFont="1" applyBorder="1" applyAlignment="1">
      <alignment horizontal="right" vertical="center"/>
    </xf>
    <xf numFmtId="10" fontId="6" fillId="0" borderId="1" xfId="0" quotePrefix="1" applyNumberFormat="1" applyFont="1" applyBorder="1" applyAlignment="1">
      <alignment horizontal="right" vertical="center"/>
    </xf>
    <xf numFmtId="164" fontId="9" fillId="0" borderId="1" xfId="2" applyFont="1" applyBorder="1" applyAlignment="1">
      <alignment horizontal="center" vertical="center"/>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0" fontId="8" fillId="0" borderId="4" xfId="0" applyNumberFormat="1" applyFont="1" applyBorder="1" applyAlignment="1">
      <alignment horizontal="right" vertical="center"/>
    </xf>
    <xf numFmtId="10" fontId="8" fillId="0" borderId="3" xfId="0" applyNumberFormat="1" applyFont="1" applyBorder="1" applyAlignment="1">
      <alignment horizontal="right" vertical="center"/>
    </xf>
    <xf numFmtId="164" fontId="5" fillId="0" borderId="6" xfId="2" quotePrefix="1" applyFont="1" applyBorder="1" applyAlignment="1">
      <alignment horizontal="center" vertical="center"/>
    </xf>
    <xf numFmtId="168" fontId="5" fillId="0" borderId="4" xfId="0" applyNumberFormat="1" applyFont="1" applyBorder="1" applyAlignment="1">
      <alignment horizontal="center" vertical="center"/>
    </xf>
    <xf numFmtId="168" fontId="5" fillId="0" borderId="2" xfId="0" applyNumberFormat="1" applyFont="1" applyBorder="1" applyAlignment="1">
      <alignment horizontal="center" vertical="center"/>
    </xf>
    <xf numFmtId="168" fontId="5" fillId="0" borderId="3" xfId="0" applyNumberFormat="1" applyFont="1" applyBorder="1" applyAlignment="1">
      <alignment horizontal="center" vertical="center"/>
    </xf>
    <xf numFmtId="166" fontId="6" fillId="0" borderId="13" xfId="1" applyNumberFormat="1" applyFont="1" applyBorder="1" applyAlignment="1">
      <alignment horizontal="center" vertical="center" wrapText="1"/>
    </xf>
    <xf numFmtId="166" fontId="6" fillId="0" borderId="11" xfId="1" applyNumberFormat="1" applyFont="1" applyBorder="1" applyAlignment="1">
      <alignment horizontal="center" vertical="center" wrapText="1"/>
    </xf>
    <xf numFmtId="166" fontId="6" fillId="0" borderId="14" xfId="1"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0" fontId="6" fillId="0" borderId="4" xfId="0" quotePrefix="1" applyNumberFormat="1" applyFont="1" applyBorder="1" applyAlignment="1">
      <alignment horizontal="center" vertical="center"/>
    </xf>
    <xf numFmtId="10" fontId="6" fillId="0" borderId="2" xfId="0" quotePrefix="1" applyNumberFormat="1" applyFont="1" applyBorder="1" applyAlignment="1">
      <alignment horizontal="center" vertical="center"/>
    </xf>
    <xf numFmtId="164" fontId="8" fillId="0" borderId="4" xfId="0" applyNumberFormat="1" applyFont="1" applyBorder="1" applyAlignment="1">
      <alignment horizontal="center" vertical="center" wrapText="1"/>
    </xf>
    <xf numFmtId="41" fontId="13" fillId="0" borderId="1" xfId="0" applyNumberFormat="1" applyFont="1" applyBorder="1" applyAlignment="1">
      <alignment horizontal="center"/>
    </xf>
    <xf numFmtId="0" fontId="13" fillId="0" borderId="1" xfId="0" applyFont="1" applyBorder="1" applyAlignment="1">
      <alignment horizontal="center" wrapText="1"/>
    </xf>
    <xf numFmtId="0" fontId="13" fillId="0" borderId="1" xfId="0" applyFont="1" applyBorder="1" applyAlignment="1">
      <alignment horizontal="center"/>
    </xf>
    <xf numFmtId="41" fontId="13" fillId="0" borderId="1" xfId="0" applyNumberFormat="1" applyFont="1" applyBorder="1" applyAlignment="1">
      <alignment horizontal="center" vertical="center"/>
    </xf>
  </cellXfs>
  <cellStyles count="3">
    <cellStyle name="Comma" xfId="1" builtinId="3"/>
    <cellStyle name="Comma [0]" xfId="2"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FAD04-AAC8-4DB2-9FB7-12762136B068}">
  <dimension ref="A1:Z95"/>
  <sheetViews>
    <sheetView tabSelected="1" view="pageBreakPreview" zoomScale="89" zoomScaleNormal="75" zoomScaleSheetLayoutView="89" workbookViewId="0">
      <pane xSplit="3" ySplit="2" topLeftCell="F69" activePane="bottomRight" state="frozen"/>
      <selection pane="topRight" activeCell="C1" sqref="C1"/>
      <selection pane="bottomLeft" activeCell="A3" sqref="A3"/>
      <selection pane="bottomRight" activeCell="H68" sqref="H68:H69"/>
    </sheetView>
  </sheetViews>
  <sheetFormatPr defaultRowHeight="14.4" x14ac:dyDescent="0.3"/>
  <cols>
    <col min="1" max="1" width="5.2187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5.6640625"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152"/>
      <c r="H3" s="152"/>
      <c r="I3" s="152"/>
      <c r="J3" s="152"/>
      <c r="K3" s="152"/>
      <c r="L3" s="152"/>
      <c r="M3" s="152"/>
      <c r="N3" s="152"/>
    </row>
    <row r="4" spans="1:19" x14ac:dyDescent="0.3">
      <c r="B4" s="213" t="s">
        <v>143</v>
      </c>
      <c r="C4" s="213"/>
      <c r="D4" s="1"/>
      <c r="E4" s="6"/>
      <c r="F4" s="6"/>
      <c r="G4" s="3"/>
      <c r="H4" s="152"/>
      <c r="I4" s="152"/>
      <c r="J4" s="152"/>
      <c r="K4" s="152"/>
      <c r="L4" s="152"/>
      <c r="M4" s="152"/>
      <c r="N4" s="152"/>
    </row>
    <row r="5" spans="1:19" x14ac:dyDescent="0.3">
      <c r="B5" s="213"/>
      <c r="C5" s="213"/>
      <c r="D5" s="1"/>
      <c r="E5" s="6"/>
      <c r="F5" s="6"/>
      <c r="G5" s="3"/>
      <c r="H5" s="152"/>
      <c r="I5" s="152"/>
      <c r="J5" s="152"/>
      <c r="K5" s="152"/>
      <c r="L5" s="152"/>
      <c r="M5" s="152"/>
      <c r="N5" s="152"/>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2684346092</v>
      </c>
      <c r="E9" s="51">
        <f>I9</f>
        <v>1638965320</v>
      </c>
      <c r="F9" s="51">
        <f>F10+F15+F18+F21+F36+F41</f>
        <v>171987080</v>
      </c>
      <c r="G9" s="51">
        <f>G10+G15+G18+G21+G36+G41</f>
        <v>1810952400</v>
      </c>
      <c r="H9" s="50">
        <f>G9/D9</f>
        <v>0.67463446885521794</v>
      </c>
      <c r="I9" s="51">
        <f>I10+I15+I18+I21+I36+I41</f>
        <v>1638965320</v>
      </c>
      <c r="J9" s="51">
        <f t="shared" ref="J9:K9" si="0">J10+J15+J18+J21+J36+J41</f>
        <v>171987080</v>
      </c>
      <c r="K9" s="51">
        <f t="shared" si="0"/>
        <v>1810952400</v>
      </c>
      <c r="L9" s="50">
        <f>K9/D9</f>
        <v>0.67463446885521794</v>
      </c>
      <c r="M9" s="72">
        <f>K9/D9</f>
        <v>0.67463446885521794</v>
      </c>
      <c r="N9" s="41"/>
      <c r="O9"/>
      <c r="P9"/>
      <c r="Q9"/>
      <c r="R9"/>
      <c r="S9"/>
    </row>
    <row r="10" spans="1:19" ht="30" customHeight="1" x14ac:dyDescent="0.3">
      <c r="B10" s="25"/>
      <c r="C10" s="26" t="s">
        <v>61</v>
      </c>
      <c r="D10" s="54">
        <f>SUM(D11:D14)</f>
        <v>6915400</v>
      </c>
      <c r="E10" s="54">
        <f>SUM(E11:E14)</f>
        <v>1593700</v>
      </c>
      <c r="F10" s="54">
        <f>SUM(F11:F14)</f>
        <v>3500000</v>
      </c>
      <c r="G10" s="54">
        <f>SUM(G11:G14)</f>
        <v>5093700</v>
      </c>
      <c r="H10" s="29">
        <f>G10/D10</f>
        <v>0.73657344477542874</v>
      </c>
      <c r="I10" s="54">
        <f>SUM(I11:I14)</f>
        <v>1593700</v>
      </c>
      <c r="J10" s="54">
        <f>SUM(J11:J14)</f>
        <v>3500000</v>
      </c>
      <c r="K10" s="54">
        <f>SUM(K11:K14)</f>
        <v>5093700</v>
      </c>
      <c r="L10" s="47">
        <f>K10/D10</f>
        <v>0.73657344477542874</v>
      </c>
      <c r="M10" s="67">
        <f>K10/D10</f>
        <v>0.73657344477542874</v>
      </c>
      <c r="N10" s="28"/>
    </row>
    <row r="11" spans="1:19" x14ac:dyDescent="0.3">
      <c r="B11" s="180">
        <v>1</v>
      </c>
      <c r="C11" s="12" t="s">
        <v>30</v>
      </c>
      <c r="D11" s="195">
        <v>5093700</v>
      </c>
      <c r="E11" s="188">
        <v>1593700</v>
      </c>
      <c r="F11" s="188">
        <v>3500000</v>
      </c>
      <c r="G11" s="174">
        <f>E11+F11</f>
        <v>5093700</v>
      </c>
      <c r="H11" s="177">
        <f>G11/D11</f>
        <v>1</v>
      </c>
      <c r="I11" s="174">
        <f>E11</f>
        <v>1593700</v>
      </c>
      <c r="J11" s="174">
        <f>F11</f>
        <v>3500000</v>
      </c>
      <c r="K11" s="174">
        <f>I11+J11</f>
        <v>5093700</v>
      </c>
      <c r="L11" s="175">
        <f>K11/D11</f>
        <v>1</v>
      </c>
      <c r="M11" s="185">
        <f>L11</f>
        <v>1</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1821700</v>
      </c>
      <c r="E13" s="188"/>
      <c r="F13" s="206"/>
      <c r="G13" s="174">
        <f>E13+F13</f>
        <v>0</v>
      </c>
      <c r="H13" s="177">
        <f>G13/D13</f>
        <v>0</v>
      </c>
      <c r="I13" s="174">
        <f>E13</f>
        <v>0</v>
      </c>
      <c r="J13" s="174">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1247913107</v>
      </c>
      <c r="F15" s="55">
        <f>SUM(F16)</f>
        <v>125964285</v>
      </c>
      <c r="G15" s="55">
        <f>SUM(G16)</f>
        <v>1373877392</v>
      </c>
      <c r="H15" s="66">
        <f>G15/D15</f>
        <v>0.66655724449000908</v>
      </c>
      <c r="I15" s="56">
        <f>SUM(I16)</f>
        <v>1247913107</v>
      </c>
      <c r="J15" s="56">
        <f>SUM(J16)</f>
        <v>125964285</v>
      </c>
      <c r="K15" s="56">
        <f>SUM(K16)</f>
        <v>1373877392</v>
      </c>
      <c r="L15" s="29">
        <f>K15/D15</f>
        <v>0.66655724449000908</v>
      </c>
      <c r="M15" s="30">
        <f>K15/D15</f>
        <v>0.66655724449000908</v>
      </c>
      <c r="N15" s="31"/>
    </row>
    <row r="16" spans="1:19" x14ac:dyDescent="0.3">
      <c r="B16" s="180">
        <v>3</v>
      </c>
      <c r="C16" s="12" t="s">
        <v>33</v>
      </c>
      <c r="D16" s="187">
        <v>2061154392</v>
      </c>
      <c r="E16" s="203">
        <v>1247913107</v>
      </c>
      <c r="F16" s="203">
        <f xml:space="preserve"> 1373877392-E16</f>
        <v>125964285</v>
      </c>
      <c r="G16" s="174">
        <f>E16+F16</f>
        <v>1373877392</v>
      </c>
      <c r="H16" s="177">
        <f>G16/D16</f>
        <v>0.66655724449000908</v>
      </c>
      <c r="I16" s="170">
        <f>E16</f>
        <v>1247913107</v>
      </c>
      <c r="J16" s="170">
        <f>F16</f>
        <v>125964285</v>
      </c>
      <c r="K16" s="170">
        <f>I16+J16</f>
        <v>1373877392</v>
      </c>
      <c r="L16" s="175">
        <f>K16/D16</f>
        <v>0.66655724449000908</v>
      </c>
      <c r="M16" s="185">
        <f>L16</f>
        <v>0.66655724449000908</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50000000</v>
      </c>
      <c r="F18" s="57">
        <f>SUM(F19)</f>
        <v>0</v>
      </c>
      <c r="G18" s="57">
        <f>SUM(G19)</f>
        <v>50000000</v>
      </c>
      <c r="H18" s="48">
        <f>G18/D18</f>
        <v>1</v>
      </c>
      <c r="I18" s="57">
        <f>SUM(I19)</f>
        <v>50000000</v>
      </c>
      <c r="J18" s="57">
        <f>SUM(J19)</f>
        <v>0</v>
      </c>
      <c r="K18" s="57">
        <f>SUM(K19)</f>
        <v>50000000</v>
      </c>
      <c r="L18" s="47">
        <f>K18/D18</f>
        <v>1</v>
      </c>
      <c r="M18" s="47">
        <f>K18/D18</f>
        <v>1</v>
      </c>
      <c r="N18" s="34"/>
    </row>
    <row r="19" spans="2:14" x14ac:dyDescent="0.3">
      <c r="B19" s="192">
        <v>4</v>
      </c>
      <c r="C19" s="15" t="s">
        <v>49</v>
      </c>
      <c r="D19" s="182">
        <v>50000000</v>
      </c>
      <c r="E19" s="172">
        <v>50000000</v>
      </c>
      <c r="F19" s="172">
        <v>0</v>
      </c>
      <c r="G19" s="170">
        <f>E19+F19</f>
        <v>50000000</v>
      </c>
      <c r="H19" s="202">
        <f>G19/D19</f>
        <v>1</v>
      </c>
      <c r="I19" s="170">
        <f>SUM(E19)</f>
        <v>50000000</v>
      </c>
      <c r="J19" s="170">
        <f>F19</f>
        <v>0</v>
      </c>
      <c r="K19" s="170">
        <f>I19+J19</f>
        <v>50000000</v>
      </c>
      <c r="L19" s="201">
        <f>K19/D19</f>
        <v>1</v>
      </c>
      <c r="M19" s="202">
        <f>L19</f>
        <v>1</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62222000</v>
      </c>
      <c r="E21" s="57">
        <f>SUM(E22:E35)</f>
        <v>54375400</v>
      </c>
      <c r="F21" s="57">
        <f>SUM(F22:F35)</f>
        <v>2660250</v>
      </c>
      <c r="G21" s="57">
        <f>SUM(G22:G35)</f>
        <v>57035650</v>
      </c>
      <c r="H21" s="66">
        <f>G21/D21</f>
        <v>0.91664764874160265</v>
      </c>
      <c r="I21" s="57">
        <f>SUM(I22:I35)</f>
        <v>54375400</v>
      </c>
      <c r="J21" s="57">
        <f>SUM(J22:J35)</f>
        <v>2660250</v>
      </c>
      <c r="K21" s="57">
        <f>SUM(K22:K35)</f>
        <v>57035650</v>
      </c>
      <c r="L21" s="29">
        <f>K21/D21</f>
        <v>0.91664764874160265</v>
      </c>
      <c r="M21" s="30">
        <f>K21/D21</f>
        <v>0.91664764874160265</v>
      </c>
      <c r="N21" s="36"/>
    </row>
    <row r="22" spans="2:14" x14ac:dyDescent="0.3">
      <c r="B22" s="180">
        <v>5</v>
      </c>
      <c r="C22" s="17" t="s">
        <v>34</v>
      </c>
      <c r="D22" s="182">
        <v>6234000</v>
      </c>
      <c r="E22" s="172">
        <v>4913000</v>
      </c>
      <c r="F22" s="172">
        <v>595000</v>
      </c>
      <c r="G22" s="174">
        <f>E22+F22</f>
        <v>5508000</v>
      </c>
      <c r="H22" s="199">
        <f>G22/D22</f>
        <v>0.88354186717998073</v>
      </c>
      <c r="I22" s="189">
        <f>E22</f>
        <v>4913000</v>
      </c>
      <c r="J22" s="189">
        <f>F22</f>
        <v>595000</v>
      </c>
      <c r="K22" s="189">
        <f>I22+J22</f>
        <v>5508000</v>
      </c>
      <c r="L22" s="197">
        <f>K22/D22</f>
        <v>0.88354186717998073</v>
      </c>
      <c r="M22" s="198">
        <f>L22</f>
        <v>0.88354186717998073</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7096300</v>
      </c>
      <c r="E24" s="188">
        <v>5547700</v>
      </c>
      <c r="F24" s="188">
        <v>1100250</v>
      </c>
      <c r="G24" s="174">
        <f>E24+F24</f>
        <v>6647950</v>
      </c>
      <c r="H24" s="199">
        <f>G24/D24</f>
        <v>0.93681918746388959</v>
      </c>
      <c r="I24" s="189">
        <f>E24</f>
        <v>5547700</v>
      </c>
      <c r="J24" s="189">
        <f t="shared" ref="J24" si="1">F24</f>
        <v>1100250</v>
      </c>
      <c r="K24" s="189">
        <f t="shared" ref="K24" si="2">I24+J24</f>
        <v>6647950</v>
      </c>
      <c r="L24" s="197">
        <f>K24/D24</f>
        <v>0.93681918746388959</v>
      </c>
      <c r="M24" s="198">
        <f>L24</f>
        <v>0.93681918746388959</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6663500</v>
      </c>
      <c r="E26" s="172">
        <v>4525100</v>
      </c>
      <c r="F26" s="172">
        <v>350000</v>
      </c>
      <c r="G26" s="170">
        <f>E26+F26</f>
        <v>4875100</v>
      </c>
      <c r="H26" s="177">
        <f>G26/D26</f>
        <v>0.73161251594507393</v>
      </c>
      <c r="I26" s="189">
        <f t="shared" ref="I26:J26" si="3">E26</f>
        <v>4525100</v>
      </c>
      <c r="J26" s="189">
        <f t="shared" si="3"/>
        <v>350000</v>
      </c>
      <c r="K26" s="189">
        <f t="shared" ref="K26" si="4">I26+J26</f>
        <v>4875100</v>
      </c>
      <c r="L26" s="175">
        <f>K26/D26</f>
        <v>0.73161251594507393</v>
      </c>
      <c r="M26" s="196">
        <f>L26</f>
        <v>0.73161251594507393</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3348200</v>
      </c>
      <c r="E28" s="188">
        <v>1929200</v>
      </c>
      <c r="F28" s="188">
        <v>500000</v>
      </c>
      <c r="G28" s="174">
        <f>E28+F28</f>
        <v>2429200</v>
      </c>
      <c r="H28" s="177">
        <f>G28/D28</f>
        <v>0.72552416223642557</v>
      </c>
      <c r="I28" s="189">
        <f t="shared" ref="I28:J28" si="5">E28</f>
        <v>1929200</v>
      </c>
      <c r="J28" s="189">
        <f t="shared" si="5"/>
        <v>500000</v>
      </c>
      <c r="K28" s="189">
        <f t="shared" ref="K28" si="6">I28+J28</f>
        <v>2429200</v>
      </c>
      <c r="L28" s="175">
        <f>K28/D28</f>
        <v>0.72552416223642557</v>
      </c>
      <c r="M28" s="185">
        <f>L28</f>
        <v>0.72552416223642557</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920000</v>
      </c>
      <c r="F30" s="188">
        <f>1035000-E30</f>
        <v>115000</v>
      </c>
      <c r="G30" s="174">
        <f>E30+F30</f>
        <v>1035000</v>
      </c>
      <c r="H30" s="185">
        <f>G30/D30</f>
        <v>0.75</v>
      </c>
      <c r="I30" s="189">
        <f t="shared" ref="I30:J30" si="7">E30</f>
        <v>920000</v>
      </c>
      <c r="J30" s="189">
        <f t="shared" si="7"/>
        <v>115000</v>
      </c>
      <c r="K30" s="189">
        <f t="shared" ref="K30" si="8">I30+J30</f>
        <v>1035000</v>
      </c>
      <c r="L30" s="184">
        <f>K30/D30</f>
        <v>0.75</v>
      </c>
      <c r="M30" s="185">
        <f>L30</f>
        <v>0.75</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3000000</v>
      </c>
      <c r="E32" s="188">
        <v>2250000</v>
      </c>
      <c r="F32" s="188">
        <f>2250000-E32</f>
        <v>0</v>
      </c>
      <c r="G32" s="174">
        <f>E32+F32</f>
        <v>2250000</v>
      </c>
      <c r="H32" s="185">
        <f>G32/D32</f>
        <v>0.75</v>
      </c>
      <c r="I32" s="189">
        <f t="shared" ref="I32:J32" si="9">E32</f>
        <v>2250000</v>
      </c>
      <c r="J32" s="189">
        <f t="shared" si="9"/>
        <v>0</v>
      </c>
      <c r="K32" s="189">
        <f t="shared" ref="K32" si="10">I32+J32</f>
        <v>2250000</v>
      </c>
      <c r="L32" s="184">
        <f>K32/D32</f>
        <v>0.75</v>
      </c>
      <c r="M32" s="185">
        <f>L32</f>
        <v>0.75</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34500000</v>
      </c>
      <c r="E34" s="188">
        <v>34290400</v>
      </c>
      <c r="F34" s="188">
        <f>34290400-E34</f>
        <v>0</v>
      </c>
      <c r="G34" s="174">
        <f>E34+F34</f>
        <v>34290400</v>
      </c>
      <c r="H34" s="185">
        <f>G34/D34</f>
        <v>0.99392463768115946</v>
      </c>
      <c r="I34" s="189">
        <f t="shared" ref="I34:J34" si="11">E34</f>
        <v>34290400</v>
      </c>
      <c r="J34" s="189">
        <f t="shared" si="11"/>
        <v>0</v>
      </c>
      <c r="K34" s="189">
        <f t="shared" ref="K34" si="12">I34+J34</f>
        <v>34290400</v>
      </c>
      <c r="L34" s="184">
        <f>K34/D34</f>
        <v>0.99392463768115946</v>
      </c>
      <c r="M34" s="185">
        <f>L34</f>
        <v>0.99392463768115946</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268310613</v>
      </c>
      <c r="F36" s="57">
        <f>SUM(F37:F40)</f>
        <v>37951545</v>
      </c>
      <c r="G36" s="57">
        <f>SUM(G37:G40)</f>
        <v>306262158</v>
      </c>
      <c r="H36" s="29">
        <f>G36/D36</f>
        <v>0.65457416004103619</v>
      </c>
      <c r="I36" s="57">
        <f>SUM(I37:I40)</f>
        <v>268310613</v>
      </c>
      <c r="J36" s="57">
        <f>SUM(J37:J40)</f>
        <v>37951545</v>
      </c>
      <c r="K36" s="57">
        <f>SUM(K37:K40)</f>
        <v>306262158</v>
      </c>
      <c r="L36" s="29">
        <f t="shared" ref="L36:L37" si="13">K36/D36</f>
        <v>0.65457416004103619</v>
      </c>
      <c r="M36" s="29">
        <f>K36/D36</f>
        <v>0.65457416004103619</v>
      </c>
      <c r="N36" s="34"/>
    </row>
    <row r="37" spans="2:14" x14ac:dyDescent="0.3">
      <c r="B37" s="180">
        <v>15</v>
      </c>
      <c r="C37" s="12" t="s">
        <v>39</v>
      </c>
      <c r="D37" s="195">
        <v>46200000</v>
      </c>
      <c r="E37" s="188">
        <v>22330613</v>
      </c>
      <c r="F37" s="188">
        <f>25142158-E37</f>
        <v>2811545</v>
      </c>
      <c r="G37" s="174">
        <f>E37+F37</f>
        <v>25142158</v>
      </c>
      <c r="H37" s="185">
        <f>G37/D37</f>
        <v>0.54420255411255414</v>
      </c>
      <c r="I37" s="174">
        <f>E37</f>
        <v>22330613</v>
      </c>
      <c r="J37" s="188">
        <f>F37</f>
        <v>2811545</v>
      </c>
      <c r="K37" s="174">
        <f>I37+J37</f>
        <v>25142158</v>
      </c>
      <c r="L37" s="184">
        <f t="shared" si="13"/>
        <v>0.54420255411255414</v>
      </c>
      <c r="M37" s="185">
        <f>L37</f>
        <v>0.54420255411255414</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245980000</v>
      </c>
      <c r="F39" s="172">
        <f>281120000-E39</f>
        <v>35140000</v>
      </c>
      <c r="G39" s="170">
        <f>E39+F39</f>
        <v>281120000</v>
      </c>
      <c r="H39" s="177">
        <f>G39/D39</f>
        <v>0.66666666666666663</v>
      </c>
      <c r="I39" s="174">
        <f>E39</f>
        <v>245980000</v>
      </c>
      <c r="J39" s="188">
        <f>F39</f>
        <v>35140000</v>
      </c>
      <c r="K39" s="170">
        <f>I39+J39</f>
        <v>281120000</v>
      </c>
      <c r="L39" s="175">
        <f>K39/D39</f>
        <v>0.66666666666666663</v>
      </c>
      <c r="M39" s="177">
        <f>L39</f>
        <v>0.66666666666666663</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16772500</v>
      </c>
      <c r="F41" s="57">
        <f>SUM(F42:F47)</f>
        <v>1911000</v>
      </c>
      <c r="G41" s="54">
        <f>SUM(G42:G47)</f>
        <v>18683500</v>
      </c>
      <c r="H41" s="29">
        <v>0.1027</v>
      </c>
      <c r="I41" s="54">
        <f>SUM(I42:I47)</f>
        <v>16772500</v>
      </c>
      <c r="J41" s="54">
        <f>SUM(J42:J47)</f>
        <v>1911000</v>
      </c>
      <c r="K41" s="54">
        <f>SUM(K42:K47)</f>
        <v>18683500</v>
      </c>
      <c r="L41" s="29">
        <f>K41/D41</f>
        <v>0.51648546067235579</v>
      </c>
      <c r="M41" s="30">
        <f>K41/D41</f>
        <v>0.51648546067235579</v>
      </c>
      <c r="N41" s="31"/>
    </row>
    <row r="42" spans="2:14" x14ac:dyDescent="0.3">
      <c r="B42" s="180">
        <v>17</v>
      </c>
      <c r="C42" s="12" t="s">
        <v>32</v>
      </c>
      <c r="D42" s="187">
        <v>21430000</v>
      </c>
      <c r="E42" s="188">
        <v>13872500</v>
      </c>
      <c r="F42" s="172">
        <f>15783500-E42</f>
        <v>1911000</v>
      </c>
      <c r="G42" s="174">
        <f>E42+F42</f>
        <v>15783500</v>
      </c>
      <c r="H42" s="185">
        <f>G42/D42</f>
        <v>0.73651423238450775</v>
      </c>
      <c r="I42" s="174">
        <f>E42</f>
        <v>13872500</v>
      </c>
      <c r="J42" s="188">
        <f>F42</f>
        <v>1911000</v>
      </c>
      <c r="K42" s="174">
        <f>I42+J42</f>
        <v>15783500</v>
      </c>
      <c r="L42" s="184">
        <f>K42/D42</f>
        <v>0.73651423238450775</v>
      </c>
      <c r="M42" s="185">
        <f>L42</f>
        <v>0.73651423238450775</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2900000</v>
      </c>
      <c r="F44" s="172">
        <f>2900000-E44</f>
        <v>0</v>
      </c>
      <c r="G44" s="170">
        <f>E44+F44</f>
        <v>2900000</v>
      </c>
      <c r="H44" s="177">
        <f>G44/D44</f>
        <v>0.70048309178743962</v>
      </c>
      <c r="I44" s="174">
        <f t="shared" ref="I44:J44" si="14">E44</f>
        <v>2900000</v>
      </c>
      <c r="J44" s="188">
        <f t="shared" si="14"/>
        <v>0</v>
      </c>
      <c r="K44" s="170">
        <f>I44+J44</f>
        <v>2900000</v>
      </c>
      <c r="L44" s="175">
        <f>K44/D44</f>
        <v>0.70048309178743962</v>
      </c>
      <c r="M44" s="177">
        <f>L44</f>
        <v>0.70048309178743962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v>0</v>
      </c>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2980000</v>
      </c>
      <c r="E48" s="52">
        <f>SUM(E49)</f>
        <v>1333400</v>
      </c>
      <c r="F48" s="52">
        <f>SUM(F49)</f>
        <v>0</v>
      </c>
      <c r="G48" s="58">
        <f>SUM(G49)</f>
        <v>1333400</v>
      </c>
      <c r="H48" s="44">
        <f>G48/D48</f>
        <v>0.44744966442953021</v>
      </c>
      <c r="I48" s="58">
        <f>SUM(I49)</f>
        <v>1333400</v>
      </c>
      <c r="J48" s="58">
        <f>SUM(J49)</f>
        <v>0</v>
      </c>
      <c r="K48" s="58">
        <f>SUM(K49)</f>
        <v>1333400</v>
      </c>
      <c r="L48" s="44">
        <f>K48/D48</f>
        <v>0.44744966442953021</v>
      </c>
      <c r="M48" s="20">
        <f>K48/D48</f>
        <v>0.44744966442953021</v>
      </c>
      <c r="N48" s="21"/>
    </row>
    <row r="49" spans="2:15" ht="41.25" customHeight="1" x14ac:dyDescent="0.3">
      <c r="B49" s="32"/>
      <c r="C49" s="35" t="s">
        <v>64</v>
      </c>
      <c r="D49" s="57">
        <f>SUM(D50:D53)</f>
        <v>2980000</v>
      </c>
      <c r="E49" s="57">
        <f>SUM(E50:E53)</f>
        <v>1333400</v>
      </c>
      <c r="F49" s="57">
        <f>SUM(F50:F53)</f>
        <v>0</v>
      </c>
      <c r="G49" s="57">
        <f>SUM(G50:G53)</f>
        <v>1333400</v>
      </c>
      <c r="H49" s="48">
        <f>G49/D49</f>
        <v>0.44744966442953021</v>
      </c>
      <c r="I49" s="57">
        <f>SUM(I50:I53)</f>
        <v>1333400</v>
      </c>
      <c r="J49" s="57">
        <f>SUM(J50:J53)</f>
        <v>0</v>
      </c>
      <c r="K49" s="57">
        <f>SUM(K50:K53)</f>
        <v>1333400</v>
      </c>
      <c r="L49" s="47">
        <f>K49/D49</f>
        <v>0.44744966442953021</v>
      </c>
      <c r="M49" s="29">
        <f>K49/D49</f>
        <v>0.44744966442953021</v>
      </c>
      <c r="N49" s="37"/>
    </row>
    <row r="50" spans="2:15" x14ac:dyDescent="0.3">
      <c r="B50" s="192">
        <v>20</v>
      </c>
      <c r="C50" s="17" t="s">
        <v>41</v>
      </c>
      <c r="D50" s="182">
        <v>752000</v>
      </c>
      <c r="E50" s="188"/>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2228000</v>
      </c>
      <c r="E52" s="188">
        <v>1333400</v>
      </c>
      <c r="F52" s="188"/>
      <c r="G52" s="174">
        <f>E52+F52</f>
        <v>1333400</v>
      </c>
      <c r="H52" s="185">
        <f>G52/D52</f>
        <v>0.5984739676840215</v>
      </c>
      <c r="I52" s="170">
        <f>E52</f>
        <v>1333400</v>
      </c>
      <c r="J52" s="170">
        <f>F52</f>
        <v>0</v>
      </c>
      <c r="K52" s="174">
        <f>I52+J52</f>
        <v>1333400</v>
      </c>
      <c r="L52" s="184">
        <f>K52/D52</f>
        <v>0.5984739676840215</v>
      </c>
      <c r="M52" s="185">
        <f>L52</f>
        <v>0.5984739676840215</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13800000</v>
      </c>
      <c r="E54" s="53">
        <f t="shared" ref="E54:M54" si="16">E55</f>
        <v>12000000</v>
      </c>
      <c r="F54" s="53">
        <f t="shared" si="16"/>
        <v>0</v>
      </c>
      <c r="G54" s="53">
        <f t="shared" si="16"/>
        <v>12000000</v>
      </c>
      <c r="H54" s="80">
        <f>H55</f>
        <v>0.86956521739130432</v>
      </c>
      <c r="I54" s="53">
        <f t="shared" si="16"/>
        <v>12000000</v>
      </c>
      <c r="J54" s="53">
        <f t="shared" si="16"/>
        <v>0</v>
      </c>
      <c r="K54" s="53">
        <f t="shared" si="16"/>
        <v>12000000</v>
      </c>
      <c r="L54" s="80">
        <f>L55</f>
        <v>0.86956521739130432</v>
      </c>
      <c r="M54" s="80">
        <f t="shared" si="16"/>
        <v>0.86956521739130432</v>
      </c>
      <c r="N54" s="24"/>
    </row>
    <row r="55" spans="2:15" ht="17.25" customHeight="1" x14ac:dyDescent="0.3">
      <c r="B55" s="27"/>
      <c r="C55" s="35" t="s">
        <v>65</v>
      </c>
      <c r="D55" s="57">
        <f>SUM(D56:D59)</f>
        <v>13800000</v>
      </c>
      <c r="E55" s="57">
        <f>SUM(E56:E59)</f>
        <v>12000000</v>
      </c>
      <c r="F55" s="57">
        <f>SUM(F56:F59)</f>
        <v>0</v>
      </c>
      <c r="G55" s="57">
        <f>SUM(G56:G59)</f>
        <v>12000000</v>
      </c>
      <c r="H55" s="48">
        <f>G55/D55</f>
        <v>0.86956521739130432</v>
      </c>
      <c r="I55" s="57">
        <f>SUM(I56:I59)</f>
        <v>12000000</v>
      </c>
      <c r="J55" s="57">
        <f>SUM(J56:J59)</f>
        <v>0</v>
      </c>
      <c r="K55" s="57">
        <f>SUM(K56:K59)</f>
        <v>12000000</v>
      </c>
      <c r="L55" s="47">
        <f>K55/D55</f>
        <v>0.86956521739130432</v>
      </c>
      <c r="M55" s="47">
        <f>SUM(L55)</f>
        <v>0.86956521739130432</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4800000</v>
      </c>
      <c r="E58" s="188">
        <v>3000000</v>
      </c>
      <c r="F58" s="188"/>
      <c r="G58" s="174">
        <f>E58+F58</f>
        <v>3000000</v>
      </c>
      <c r="H58" s="185">
        <f>G58/D58</f>
        <v>0.625</v>
      </c>
      <c r="I58" s="189">
        <f>E58</f>
        <v>3000000</v>
      </c>
      <c r="J58" s="188">
        <f>F58</f>
        <v>0</v>
      </c>
      <c r="K58" s="174">
        <f>I58+J58</f>
        <v>3000000</v>
      </c>
      <c r="L58" s="184">
        <f>K58/D58</f>
        <v>0.625</v>
      </c>
      <c r="M58" s="185">
        <f>L58</f>
        <v>0.625</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12600000</v>
      </c>
      <c r="F60" s="58">
        <f t="shared" si="17"/>
        <v>1800000</v>
      </c>
      <c r="G60" s="58">
        <f t="shared" si="17"/>
        <v>14400000</v>
      </c>
      <c r="H60" s="46">
        <f>G60/D60</f>
        <v>0.66666666666666663</v>
      </c>
      <c r="I60" s="58">
        <f t="shared" ref="I60:K61" si="18">SUM(I61)</f>
        <v>12600000</v>
      </c>
      <c r="J60" s="58">
        <f t="shared" si="18"/>
        <v>1800000</v>
      </c>
      <c r="K60" s="58">
        <f t="shared" si="18"/>
        <v>14400000</v>
      </c>
      <c r="L60" s="44">
        <f>K60/D60</f>
        <v>0.66666666666666663</v>
      </c>
      <c r="M60" s="23">
        <f>SUM(L60)</f>
        <v>0.66666666666666663</v>
      </c>
      <c r="N60" s="21"/>
    </row>
    <row r="61" spans="2:15" ht="25.5" customHeight="1" x14ac:dyDescent="0.3">
      <c r="B61" s="25"/>
      <c r="C61" s="38" t="s">
        <v>82</v>
      </c>
      <c r="D61" s="59">
        <f t="shared" si="17"/>
        <v>21600000</v>
      </c>
      <c r="E61" s="60">
        <f t="shared" si="17"/>
        <v>12600000</v>
      </c>
      <c r="F61" s="59">
        <f t="shared" si="17"/>
        <v>1800000</v>
      </c>
      <c r="G61" s="57">
        <f t="shared" si="17"/>
        <v>14400000</v>
      </c>
      <c r="H61" s="47">
        <f>G61/D61</f>
        <v>0.66666666666666663</v>
      </c>
      <c r="I61" s="59">
        <f t="shared" si="18"/>
        <v>12600000</v>
      </c>
      <c r="J61" s="59">
        <f t="shared" si="18"/>
        <v>1800000</v>
      </c>
      <c r="K61" s="59">
        <f t="shared" si="18"/>
        <v>14400000</v>
      </c>
      <c r="L61" s="47">
        <f>K61/D61</f>
        <v>0.66666666666666663</v>
      </c>
      <c r="M61" s="30">
        <f>SUM(L61)</f>
        <v>0.66666666666666663</v>
      </c>
      <c r="N61" s="31"/>
    </row>
    <row r="62" spans="2:15" x14ac:dyDescent="0.3">
      <c r="B62" s="180">
        <v>25</v>
      </c>
      <c r="C62" s="12" t="s">
        <v>44</v>
      </c>
      <c r="D62" s="187">
        <v>21600000</v>
      </c>
      <c r="E62" s="188">
        <v>12600000</v>
      </c>
      <c r="F62" s="188">
        <f>14400000-E62</f>
        <v>1800000</v>
      </c>
      <c r="G62" s="170">
        <f>E62+F62</f>
        <v>14400000</v>
      </c>
      <c r="H62" s="185">
        <f>G62/D62</f>
        <v>0.66666666666666663</v>
      </c>
      <c r="I62" s="174">
        <f>E62</f>
        <v>12600000</v>
      </c>
      <c r="J62" s="188">
        <f>F62</f>
        <v>1800000</v>
      </c>
      <c r="K62" s="174">
        <f>I62+J62</f>
        <v>14400000</v>
      </c>
      <c r="L62" s="184">
        <f>K62/D62</f>
        <v>0.66666666666666663</v>
      </c>
      <c r="M62" s="185">
        <f>L62</f>
        <v>0.66666666666666663</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44250000</v>
      </c>
      <c r="E64" s="52">
        <f>SUM(E65)</f>
        <v>43900000</v>
      </c>
      <c r="F64" s="58">
        <f>SUM(F65)</f>
        <v>0</v>
      </c>
      <c r="G64" s="58">
        <f>SUM(G65)</f>
        <v>43900000</v>
      </c>
      <c r="H64" s="46">
        <f>G64/D64</f>
        <v>0.99209039548022604</v>
      </c>
      <c r="I64" s="58">
        <f>SUM(I65)</f>
        <v>43900000</v>
      </c>
      <c r="J64" s="58">
        <f>SUM(J65)</f>
        <v>0</v>
      </c>
      <c r="K64" s="58">
        <f>SUM(K65)</f>
        <v>43900000</v>
      </c>
      <c r="L64" s="46">
        <f>K64/D64</f>
        <v>0.99209039548022604</v>
      </c>
      <c r="M64" s="23">
        <f>SUM(L64)</f>
        <v>0.99209039548022604</v>
      </c>
      <c r="N64" s="21"/>
    </row>
    <row r="65" spans="2:26" ht="30" customHeight="1" x14ac:dyDescent="0.3">
      <c r="B65" s="65"/>
      <c r="C65" s="35" t="s">
        <v>66</v>
      </c>
      <c r="D65" s="57">
        <f>SUM(D66:D69)</f>
        <v>44250000</v>
      </c>
      <c r="E65" s="57">
        <f>SUM(E66:E69)</f>
        <v>43900000</v>
      </c>
      <c r="F65" s="57">
        <f>SUM(F66:F69)</f>
        <v>0</v>
      </c>
      <c r="G65" s="57">
        <f>SUM(G66:G69)</f>
        <v>43900000</v>
      </c>
      <c r="H65" s="47">
        <f>G65/D65</f>
        <v>0.99209039548022604</v>
      </c>
      <c r="I65" s="57">
        <f>SUM(I66:I69)</f>
        <v>43900000</v>
      </c>
      <c r="J65" s="57">
        <f>SUM(J66:J69)</f>
        <v>0</v>
      </c>
      <c r="K65" s="57">
        <f>SUM(K66:K69)</f>
        <v>43900000</v>
      </c>
      <c r="L65" s="47">
        <f>K65/D65</f>
        <v>0.99209039548022604</v>
      </c>
      <c r="M65" s="29">
        <f>SUM(L65)</f>
        <v>0.99209039548022604</v>
      </c>
      <c r="N65" s="37"/>
    </row>
    <row r="66" spans="2:26" x14ac:dyDescent="0.3">
      <c r="B66" s="180">
        <v>26</v>
      </c>
      <c r="C66" s="12" t="s">
        <v>45</v>
      </c>
      <c r="D66" s="187">
        <v>44250000</v>
      </c>
      <c r="E66" s="188">
        <v>43900000</v>
      </c>
      <c r="F66" s="188"/>
      <c r="G66" s="174">
        <f>E66+F66</f>
        <v>43900000</v>
      </c>
      <c r="H66" s="185">
        <f>G66/D66</f>
        <v>0.99209039548022604</v>
      </c>
      <c r="I66" s="174">
        <f>E66</f>
        <v>43900000</v>
      </c>
      <c r="J66" s="174">
        <f>F66</f>
        <v>0</v>
      </c>
      <c r="K66" s="174">
        <f>I66+J66</f>
        <v>43900000</v>
      </c>
      <c r="L66" s="184">
        <f>K66/D66</f>
        <v>0.99209039548022604</v>
      </c>
      <c r="M66" s="185">
        <f>L66</f>
        <v>0.99209039548022604</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0</v>
      </c>
      <c r="E68" s="188">
        <v>0</v>
      </c>
      <c r="F68" s="188">
        <v>0</v>
      </c>
      <c r="G68" s="174">
        <f>E68+F68</f>
        <v>0</v>
      </c>
      <c r="H68" s="185">
        <v>0</v>
      </c>
      <c r="I68" s="174">
        <f>E68</f>
        <v>0</v>
      </c>
      <c r="J68" s="174">
        <f>F68</f>
        <v>0</v>
      </c>
      <c r="K68" s="174">
        <f>I68+J68</f>
        <v>0</v>
      </c>
      <c r="L68" s="184">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1200000</v>
      </c>
      <c r="E70" s="52">
        <f t="shared" si="19"/>
        <v>450000</v>
      </c>
      <c r="F70" s="52">
        <f t="shared" si="19"/>
        <v>0</v>
      </c>
      <c r="G70" s="52">
        <f t="shared" si="19"/>
        <v>450000</v>
      </c>
      <c r="H70" s="23">
        <f>G70/D70</f>
        <v>0.375</v>
      </c>
      <c r="I70" s="52">
        <f t="shared" ref="I70:K71" si="20">SUM(I71)</f>
        <v>450000</v>
      </c>
      <c r="J70" s="52">
        <f t="shared" si="20"/>
        <v>0</v>
      </c>
      <c r="K70" s="52">
        <f t="shared" si="20"/>
        <v>450000</v>
      </c>
      <c r="L70" s="44">
        <f>K70/D70</f>
        <v>0.375</v>
      </c>
      <c r="M70" s="68">
        <f>SUM(L70)</f>
        <v>0.375</v>
      </c>
      <c r="N70" s="43"/>
    </row>
    <row r="71" spans="2:26" ht="38.25" customHeight="1" x14ac:dyDescent="0.3">
      <c r="B71" s="25"/>
      <c r="C71" s="39" t="s">
        <v>67</v>
      </c>
      <c r="D71" s="60">
        <f t="shared" si="19"/>
        <v>1200000</v>
      </c>
      <c r="E71" s="60">
        <f t="shared" si="19"/>
        <v>450000</v>
      </c>
      <c r="F71" s="60">
        <f t="shared" si="19"/>
        <v>0</v>
      </c>
      <c r="G71" s="60">
        <f t="shared" si="19"/>
        <v>450000</v>
      </c>
      <c r="H71" s="29">
        <f>G71/D71</f>
        <v>0.375</v>
      </c>
      <c r="I71" s="60">
        <f t="shared" si="20"/>
        <v>450000</v>
      </c>
      <c r="J71" s="60">
        <f t="shared" si="20"/>
        <v>0</v>
      </c>
      <c r="K71" s="60">
        <f t="shared" si="20"/>
        <v>450000</v>
      </c>
      <c r="L71" s="47">
        <f>K71/D71</f>
        <v>0.375</v>
      </c>
      <c r="M71" s="29">
        <f>SUM(L71)</f>
        <v>0.375</v>
      </c>
      <c r="N71" s="40"/>
    </row>
    <row r="72" spans="2:26" x14ac:dyDescent="0.3">
      <c r="B72" s="180">
        <v>28</v>
      </c>
      <c r="C72" s="17" t="s">
        <v>47</v>
      </c>
      <c r="D72" s="182">
        <v>1200000</v>
      </c>
      <c r="E72" s="172">
        <v>450000</v>
      </c>
      <c r="F72" s="172"/>
      <c r="G72" s="174">
        <f>E72+F72</f>
        <v>450000</v>
      </c>
      <c r="H72" s="177">
        <f>G72/D72</f>
        <v>0.375</v>
      </c>
      <c r="I72" s="170">
        <f>E72</f>
        <v>450000</v>
      </c>
      <c r="J72" s="172">
        <f>F72</f>
        <v>0</v>
      </c>
      <c r="K72" s="174">
        <f>I72+J72</f>
        <v>450000</v>
      </c>
      <c r="L72" s="175">
        <f>K72/D72</f>
        <v>0.375</v>
      </c>
      <c r="M72" s="177">
        <f>L72</f>
        <v>0.375</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2768176092</v>
      </c>
      <c r="E74" s="165">
        <f>E9+E48+E54+E60+E64+E70</f>
        <v>1709248720</v>
      </c>
      <c r="F74" s="165">
        <f>F9+F48+F54+F60+F64+F70</f>
        <v>173787080</v>
      </c>
      <c r="G74" s="159">
        <f>G9+G48+G54+G60+G64+G70</f>
        <v>1883035800</v>
      </c>
      <c r="H74" s="157">
        <f>G74/D74</f>
        <v>0.68024422486775815</v>
      </c>
      <c r="I74" s="159">
        <f>I9+I48+I54+I60+I64+I70</f>
        <v>1709248720</v>
      </c>
      <c r="J74" s="159">
        <f>J9+J48+J54+J60+J64+J70</f>
        <v>173787080</v>
      </c>
      <c r="K74" s="159">
        <f>K9+K48+K54+K60+K64+K70</f>
        <v>1883035800</v>
      </c>
      <c r="L74" s="157">
        <f>K74/D74</f>
        <v>0.68024422486775815</v>
      </c>
      <c r="M74" s="157">
        <f>K74/D74</f>
        <v>0.68024422486775815</v>
      </c>
      <c r="N74" s="153"/>
    </row>
    <row r="75" spans="2:26" ht="15" thickBot="1" x14ac:dyDescent="0.35">
      <c r="B75" s="162"/>
      <c r="C75" s="164"/>
      <c r="D75" s="160"/>
      <c r="E75" s="166"/>
      <c r="F75" s="166"/>
      <c r="G75" s="160"/>
      <c r="H75" s="158"/>
      <c r="I75" s="160"/>
      <c r="J75" s="160"/>
      <c r="K75" s="160"/>
      <c r="L75" s="158"/>
      <c r="M75" s="158"/>
      <c r="N75" s="154"/>
    </row>
    <row r="76" spans="2:26" x14ac:dyDescent="0.3">
      <c r="B76" s="152"/>
      <c r="D76" s="2"/>
      <c r="E76" s="69"/>
      <c r="F76" s="7"/>
      <c r="G76" s="61"/>
      <c r="L76" s="152"/>
    </row>
    <row r="77" spans="2:26" x14ac:dyDescent="0.3">
      <c r="D77" s="4"/>
      <c r="E77" s="62"/>
      <c r="F77" s="63"/>
      <c r="G77" s="45"/>
      <c r="J77" s="155" t="s">
        <v>144</v>
      </c>
      <c r="K77" s="155"/>
      <c r="L77" s="155"/>
      <c r="M77" s="155"/>
      <c r="N77" s="151"/>
    </row>
    <row r="78" spans="2:26" x14ac:dyDescent="0.3">
      <c r="D78" s="4"/>
      <c r="E78" s="62"/>
      <c r="G78" s="61"/>
      <c r="J78" s="155" t="s">
        <v>56</v>
      </c>
      <c r="K78" s="155"/>
      <c r="L78" s="155"/>
      <c r="M78" s="155"/>
      <c r="N78" s="151"/>
    </row>
    <row r="79" spans="2:26" x14ac:dyDescent="0.3">
      <c r="D79" s="4"/>
      <c r="E79" s="62"/>
      <c r="K79" s="151"/>
      <c r="L79" s="151"/>
      <c r="M79" s="151"/>
      <c r="N79" s="151"/>
    </row>
    <row r="80" spans="2:26" x14ac:dyDescent="0.3">
      <c r="D80" s="4"/>
      <c r="E80" s="70"/>
      <c r="F80" s="62"/>
      <c r="G80" s="45"/>
      <c r="K80" s="151"/>
      <c r="L80" s="151"/>
      <c r="M80" s="151"/>
      <c r="N80" s="151"/>
    </row>
    <row r="81" spans="2:14" x14ac:dyDescent="0.3">
      <c r="D81" s="78"/>
      <c r="K81" s="151"/>
      <c r="L81" s="151"/>
      <c r="M81" s="151"/>
      <c r="N81" s="151"/>
    </row>
    <row r="82" spans="2:14" x14ac:dyDescent="0.3">
      <c r="D82" s="4"/>
      <c r="E82" s="63"/>
      <c r="J82" s="156" t="s">
        <v>59</v>
      </c>
      <c r="K82" s="156"/>
      <c r="L82" s="156"/>
      <c r="M82" s="156"/>
      <c r="N82" s="151"/>
    </row>
    <row r="83" spans="2:14" ht="13.8" customHeight="1" x14ac:dyDescent="0.3">
      <c r="D83" s="78"/>
      <c r="J83" s="155" t="s">
        <v>79</v>
      </c>
      <c r="K83" s="155"/>
      <c r="L83" s="155"/>
      <c r="M83" s="155"/>
      <c r="N83" s="151"/>
    </row>
    <row r="84" spans="2:14" x14ac:dyDescent="0.3">
      <c r="D84" s="4"/>
      <c r="J84" s="155" t="s">
        <v>60</v>
      </c>
      <c r="K84" s="155"/>
      <c r="L84" s="155"/>
      <c r="M84" s="155"/>
      <c r="N84" s="5"/>
    </row>
    <row r="85" spans="2:14" x14ac:dyDescent="0.3">
      <c r="B85" s="152"/>
      <c r="D85" s="2"/>
      <c r="E85" s="71"/>
      <c r="L85" s="152"/>
    </row>
    <row r="86" spans="2:14" x14ac:dyDescent="0.3">
      <c r="B86" s="152"/>
      <c r="D86" s="2"/>
      <c r="E86" s="71"/>
      <c r="L86" s="152"/>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66" orientation="landscape" horizontalDpi="300" verticalDpi="300" r:id="rId1"/>
  <rowBreaks count="2" manualBreakCount="2">
    <brk id="35" max="14" man="1"/>
    <brk id="59" max="14" man="1"/>
  </rowBreaks>
  <colBreaks count="1" manualBreakCount="1">
    <brk id="1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E60A-A1FE-4683-89ED-15A07D69F211}">
  <dimension ref="A1:Z95"/>
  <sheetViews>
    <sheetView view="pageBreakPreview" zoomScale="78" zoomScaleNormal="75" zoomScaleSheetLayoutView="78" workbookViewId="0">
      <pane xSplit="3" ySplit="2" topLeftCell="D24" activePane="bottomRight" state="frozen"/>
      <selection pane="topRight" activeCell="C1" sqref="C1"/>
      <selection pane="bottomLeft" activeCell="A3" sqref="A3"/>
      <selection pane="bottomRight" activeCell="L9" sqref="L9"/>
    </sheetView>
  </sheetViews>
  <sheetFormatPr defaultRowHeight="14.4" x14ac:dyDescent="0.3"/>
  <cols>
    <col min="1" max="1" width="8.3320312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0.5546875" bestFit="1"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92"/>
      <c r="H3" s="92"/>
      <c r="I3" s="92"/>
      <c r="J3" s="92"/>
      <c r="K3" s="92"/>
      <c r="L3" s="92"/>
      <c r="M3" s="92"/>
      <c r="N3" s="92"/>
    </row>
    <row r="4" spans="1:19" x14ac:dyDescent="0.3">
      <c r="B4" s="213" t="s">
        <v>100</v>
      </c>
      <c r="C4" s="213"/>
      <c r="D4" s="1"/>
      <c r="E4" s="6"/>
      <c r="F4" s="6"/>
      <c r="G4" s="3"/>
      <c r="H4" s="92"/>
      <c r="I4" s="92"/>
      <c r="J4" s="92"/>
      <c r="K4" s="92"/>
      <c r="L4" s="92"/>
      <c r="M4" s="92"/>
      <c r="N4" s="92"/>
    </row>
    <row r="5" spans="1:19" x14ac:dyDescent="0.3">
      <c r="B5" s="213"/>
      <c r="C5" s="213"/>
      <c r="D5" s="1"/>
      <c r="E5" s="6"/>
      <c r="F5" s="6"/>
      <c r="G5" s="3"/>
      <c r="H5" s="92"/>
      <c r="I5" s="92"/>
      <c r="J5" s="92"/>
      <c r="K5" s="92"/>
      <c r="L5" s="92"/>
      <c r="M5" s="92"/>
      <c r="N5" s="92"/>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2705364292</v>
      </c>
      <c r="E9" s="51">
        <f>I9</f>
        <v>248839885</v>
      </c>
      <c r="F9" s="51">
        <f>F10+F15+F18+F21+F36+F41</f>
        <v>361779769</v>
      </c>
      <c r="G9" s="51">
        <f>G10+G15+G18+G21+G36+G41</f>
        <v>610619654</v>
      </c>
      <c r="H9" s="50">
        <f>G9/D9</f>
        <v>0.22570699842740438</v>
      </c>
      <c r="I9" s="51">
        <f>I10+I15+I18+I21+I36+I41</f>
        <v>248839885</v>
      </c>
      <c r="J9" s="51">
        <f t="shared" ref="J9:K9" si="0">J10+J15+J18+J21+J36+J41</f>
        <v>361779769</v>
      </c>
      <c r="K9" s="51">
        <f t="shared" si="0"/>
        <v>610619654</v>
      </c>
      <c r="L9" s="50">
        <f>K9/D9</f>
        <v>0.22570699842740438</v>
      </c>
      <c r="M9" s="72">
        <f>K9/D9</f>
        <v>0.22570699842740438</v>
      </c>
      <c r="N9" s="41"/>
      <c r="O9"/>
      <c r="P9"/>
      <c r="Q9"/>
      <c r="R9"/>
      <c r="S9"/>
    </row>
    <row r="10" spans="1:19" ht="30" customHeight="1" x14ac:dyDescent="0.3">
      <c r="B10" s="25"/>
      <c r="C10" s="26" t="s">
        <v>61</v>
      </c>
      <c r="D10" s="54">
        <f>SUM(D11:D14)</f>
        <v>10883200</v>
      </c>
      <c r="E10" s="54">
        <f>SUM(E11:E14)</f>
        <v>0</v>
      </c>
      <c r="F10" s="54">
        <f>SUM(F11:F14)</f>
        <v>0</v>
      </c>
      <c r="G10" s="54">
        <f>SUM(G11:G14)</f>
        <v>0</v>
      </c>
      <c r="H10" s="29">
        <f>G10/D10</f>
        <v>0</v>
      </c>
      <c r="I10" s="54">
        <f>SUM(I11:I14)</f>
        <v>0</v>
      </c>
      <c r="J10" s="54">
        <f>SUM(J11:J14)</f>
        <v>0</v>
      </c>
      <c r="K10" s="54">
        <f>SUM(K11:K14)</f>
        <v>0</v>
      </c>
      <c r="L10" s="47">
        <f>K10/D10</f>
        <v>0</v>
      </c>
      <c r="M10" s="67">
        <f>K10/D10</f>
        <v>0</v>
      </c>
      <c r="N10" s="28"/>
    </row>
    <row r="11" spans="1:19" x14ac:dyDescent="0.3">
      <c r="B11" s="180">
        <v>1</v>
      </c>
      <c r="C11" s="12" t="s">
        <v>30</v>
      </c>
      <c r="D11" s="195">
        <v>8455200</v>
      </c>
      <c r="E11" s="188"/>
      <c r="F11" s="188"/>
      <c r="G11" s="174">
        <f>E11+F11</f>
        <v>0</v>
      </c>
      <c r="H11" s="177">
        <f>G11/D11</f>
        <v>0</v>
      </c>
      <c r="I11" s="174">
        <f>E11</f>
        <v>0</v>
      </c>
      <c r="J11" s="174">
        <f>F11</f>
        <v>0</v>
      </c>
      <c r="K11" s="174">
        <f>I11+J11</f>
        <v>0</v>
      </c>
      <c r="L11" s="175">
        <f>K11/D11</f>
        <v>0</v>
      </c>
      <c r="M11" s="185">
        <f>L11</f>
        <v>0</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2428000</v>
      </c>
      <c r="E13" s="188"/>
      <c r="F13" s="206"/>
      <c r="G13" s="174">
        <f>E13+F13</f>
        <v>0</v>
      </c>
      <c r="H13" s="177">
        <f>G13/D13</f>
        <v>0</v>
      </c>
      <c r="I13" s="174">
        <f>E13</f>
        <v>0</v>
      </c>
      <c r="J13" s="174">
        <f>F13</f>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208436404</v>
      </c>
      <c r="F15" s="55">
        <f>SUM(F16)</f>
        <v>290639128</v>
      </c>
      <c r="G15" s="55">
        <f>SUM(G16)</f>
        <v>499075532</v>
      </c>
      <c r="H15" s="66">
        <f>G15/D15</f>
        <v>0.24213398760280738</v>
      </c>
      <c r="I15" s="56">
        <f>SUM(I16)</f>
        <v>208436404</v>
      </c>
      <c r="J15" s="56">
        <f>SUM(J16)</f>
        <v>290639128</v>
      </c>
      <c r="K15" s="56">
        <f>SUM(K16)</f>
        <v>499075532</v>
      </c>
      <c r="L15" s="29">
        <f>K15/D15</f>
        <v>0.24213398760280738</v>
      </c>
      <c r="M15" s="30">
        <f>K15/D15</f>
        <v>0.24213398760280738</v>
      </c>
      <c r="N15" s="31"/>
    </row>
    <row r="16" spans="1:19" x14ac:dyDescent="0.3">
      <c r="B16" s="180">
        <v>3</v>
      </c>
      <c r="C16" s="12" t="s">
        <v>33</v>
      </c>
      <c r="D16" s="187">
        <v>2061154392</v>
      </c>
      <c r="E16" s="203">
        <v>208436404</v>
      </c>
      <c r="F16" s="203">
        <f>499075532-E16</f>
        <v>290639128</v>
      </c>
      <c r="G16" s="174">
        <f>E16+F16</f>
        <v>499075532</v>
      </c>
      <c r="H16" s="177">
        <f>G16/D16</f>
        <v>0.24213398760280738</v>
      </c>
      <c r="I16" s="170">
        <f>E16</f>
        <v>208436404</v>
      </c>
      <c r="J16" s="170">
        <f>F16</f>
        <v>290639128</v>
      </c>
      <c r="K16" s="170">
        <f>I16+J16</f>
        <v>499075532</v>
      </c>
      <c r="L16" s="175">
        <f>K16/D16</f>
        <v>0.24213398760280738</v>
      </c>
      <c r="M16" s="185">
        <f>L16</f>
        <v>0.24213398760280738</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0</v>
      </c>
      <c r="F18" s="57">
        <f>SUM(F19)</f>
        <v>0</v>
      </c>
      <c r="G18" s="57">
        <f>SUM(G19)</f>
        <v>0</v>
      </c>
      <c r="H18" s="48">
        <f>G18/D18</f>
        <v>0</v>
      </c>
      <c r="I18" s="57">
        <f>SUM(I19)</f>
        <v>0</v>
      </c>
      <c r="J18" s="57">
        <f>SUM(J19)</f>
        <v>0</v>
      </c>
      <c r="K18" s="57">
        <f>SUM(K19)</f>
        <v>0</v>
      </c>
      <c r="L18" s="47">
        <f>K18/D18</f>
        <v>0</v>
      </c>
      <c r="M18" s="47">
        <f>K18/D18</f>
        <v>0</v>
      </c>
      <c r="N18" s="34"/>
    </row>
    <row r="19" spans="2:14" x14ac:dyDescent="0.3">
      <c r="B19" s="192">
        <v>4</v>
      </c>
      <c r="C19" s="15" t="s">
        <v>49</v>
      </c>
      <c r="D19" s="182">
        <v>50000000</v>
      </c>
      <c r="E19" s="172"/>
      <c r="F19" s="172"/>
      <c r="G19" s="170">
        <f>E19+F19</f>
        <v>0</v>
      </c>
      <c r="H19" s="202">
        <f>G19/D19</f>
        <v>0</v>
      </c>
      <c r="I19" s="170">
        <f>SUM(E19)</f>
        <v>0</v>
      </c>
      <c r="J19" s="170">
        <f>F19</f>
        <v>0</v>
      </c>
      <c r="K19" s="170">
        <f>I19+J19</f>
        <v>0</v>
      </c>
      <c r="L19" s="201">
        <f>K19/D19</f>
        <v>0</v>
      </c>
      <c r="M19" s="202">
        <f>L19</f>
        <v>0</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79272400</v>
      </c>
      <c r="E21" s="57">
        <f>SUM(E22:E35)</f>
        <v>115000</v>
      </c>
      <c r="F21" s="57">
        <f>SUM(F22:F35)</f>
        <v>33030400</v>
      </c>
      <c r="G21" s="57">
        <f>SUM(G22:G35)</f>
        <v>33145400</v>
      </c>
      <c r="H21" s="66">
        <f>G21/D21</f>
        <v>0.41812030416639334</v>
      </c>
      <c r="I21" s="57">
        <f>SUM(I22:I35)</f>
        <v>115000</v>
      </c>
      <c r="J21" s="57">
        <f>SUM(J22:J35)</f>
        <v>33030400</v>
      </c>
      <c r="K21" s="57">
        <f>SUM(K22:K35)</f>
        <v>33145400</v>
      </c>
      <c r="L21" s="29">
        <f>K21/D21</f>
        <v>0.41812030416639334</v>
      </c>
      <c r="M21" s="30">
        <f>K21/D21</f>
        <v>0.41812030416639334</v>
      </c>
      <c r="N21" s="36"/>
    </row>
    <row r="22" spans="2:14" x14ac:dyDescent="0.3">
      <c r="B22" s="180">
        <v>5</v>
      </c>
      <c r="C22" s="17" t="s">
        <v>34</v>
      </c>
      <c r="D22" s="182">
        <v>6234000</v>
      </c>
      <c r="E22" s="172"/>
      <c r="F22" s="172"/>
      <c r="G22" s="174">
        <f>E22+F22</f>
        <v>0</v>
      </c>
      <c r="H22" s="199">
        <f>G22/D22</f>
        <v>0</v>
      </c>
      <c r="I22" s="189">
        <f>E22</f>
        <v>0</v>
      </c>
      <c r="J22" s="189">
        <f>F22</f>
        <v>0</v>
      </c>
      <c r="K22" s="189">
        <f>I22+J22</f>
        <v>0</v>
      </c>
      <c r="L22" s="197">
        <f>K22/D22</f>
        <v>0</v>
      </c>
      <c r="M22" s="198">
        <f>L22</f>
        <v>0</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9195100</v>
      </c>
      <c r="E24" s="188"/>
      <c r="F24" s="188"/>
      <c r="G24" s="174">
        <f>E24+F24</f>
        <v>0</v>
      </c>
      <c r="H24" s="199">
        <f>G24/D24</f>
        <v>0</v>
      </c>
      <c r="I24" s="189">
        <f>E24</f>
        <v>0</v>
      </c>
      <c r="J24" s="189">
        <f t="shared" ref="J24" si="1">F24</f>
        <v>0</v>
      </c>
      <c r="K24" s="189">
        <f t="shared" ref="K24" si="2">I24+J24</f>
        <v>0</v>
      </c>
      <c r="L24" s="197">
        <f>K24/D24</f>
        <v>0</v>
      </c>
      <c r="M24" s="198">
        <f>L24</f>
        <v>0</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6748500</v>
      </c>
      <c r="E26" s="172"/>
      <c r="F26" s="172"/>
      <c r="G26" s="170">
        <f>E26+F26</f>
        <v>0</v>
      </c>
      <c r="H26" s="177">
        <f>G26/D26</f>
        <v>0</v>
      </c>
      <c r="I26" s="189">
        <f t="shared" ref="I26:J26" si="3">E26</f>
        <v>0</v>
      </c>
      <c r="J26" s="189">
        <f t="shared" si="3"/>
        <v>0</v>
      </c>
      <c r="K26" s="189">
        <f t="shared" ref="K26" si="4">I26+J26</f>
        <v>0</v>
      </c>
      <c r="L26" s="175">
        <f>K26/D26</f>
        <v>0</v>
      </c>
      <c r="M26" s="196">
        <f>L26</f>
        <v>0</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4114800</v>
      </c>
      <c r="E28" s="188"/>
      <c r="F28" s="188"/>
      <c r="G28" s="174">
        <f>E28+F28</f>
        <v>0</v>
      </c>
      <c r="H28" s="177">
        <f>G28/D28</f>
        <v>0</v>
      </c>
      <c r="I28" s="189">
        <f t="shared" ref="I28:J28" si="5">E28</f>
        <v>0</v>
      </c>
      <c r="J28" s="189">
        <f t="shared" si="5"/>
        <v>0</v>
      </c>
      <c r="K28" s="189">
        <f t="shared" ref="K28" si="6">I28+J28</f>
        <v>0</v>
      </c>
      <c r="L28" s="175">
        <f>K28/D28</f>
        <v>0</v>
      </c>
      <c r="M28" s="185">
        <f>L28</f>
        <v>0</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115000</v>
      </c>
      <c r="F30" s="188"/>
      <c r="G30" s="174">
        <f>E30+F30</f>
        <v>115000</v>
      </c>
      <c r="H30" s="185">
        <f>G30/D30</f>
        <v>8.3333333333333329E-2</v>
      </c>
      <c r="I30" s="189">
        <f t="shared" ref="I30:J30" si="7">E30</f>
        <v>115000</v>
      </c>
      <c r="J30" s="189">
        <f t="shared" si="7"/>
        <v>0</v>
      </c>
      <c r="K30" s="189">
        <f t="shared" ref="K30" si="8">I30+J30</f>
        <v>115000</v>
      </c>
      <c r="L30" s="184">
        <f>K30/D30</f>
        <v>8.3333333333333329E-2</v>
      </c>
      <c r="M30" s="185">
        <f>L30</f>
        <v>8.3333333333333329E-2</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11550000</v>
      </c>
      <c r="E32" s="188"/>
      <c r="F32" s="188"/>
      <c r="G32" s="174">
        <f>E32+F32</f>
        <v>0</v>
      </c>
      <c r="H32" s="185">
        <f>G32/D32</f>
        <v>0</v>
      </c>
      <c r="I32" s="189">
        <f t="shared" ref="I32:J32" si="9">E32</f>
        <v>0</v>
      </c>
      <c r="J32" s="189">
        <f t="shared" si="9"/>
        <v>0</v>
      </c>
      <c r="K32" s="189">
        <f t="shared" ref="K32" si="10">I32+J32</f>
        <v>0</v>
      </c>
      <c r="L32" s="184">
        <f>K32/D32</f>
        <v>0</v>
      </c>
      <c r="M32" s="185">
        <f>L32</f>
        <v>0</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40050000</v>
      </c>
      <c r="E34" s="188"/>
      <c r="F34" s="188">
        <v>33030400</v>
      </c>
      <c r="G34" s="174">
        <f>E34+F34</f>
        <v>33030400</v>
      </c>
      <c r="H34" s="185">
        <f>G34/D34</f>
        <v>0.82472908863920102</v>
      </c>
      <c r="I34" s="189">
        <f t="shared" ref="I34:J34" si="11">E34</f>
        <v>0</v>
      </c>
      <c r="J34" s="189">
        <f t="shared" si="11"/>
        <v>33030400</v>
      </c>
      <c r="K34" s="189">
        <f t="shared" ref="K34" si="12">I34+J34</f>
        <v>33030400</v>
      </c>
      <c r="L34" s="184">
        <f>K34/D34</f>
        <v>0.82472908863920102</v>
      </c>
      <c r="M34" s="185">
        <f>L34</f>
        <v>0.82472908863920102</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38159481</v>
      </c>
      <c r="F36" s="57">
        <f>SUM(F37:F40)</f>
        <v>38110241</v>
      </c>
      <c r="G36" s="57">
        <f>SUM(G37:G40)</f>
        <v>76269722</v>
      </c>
      <c r="H36" s="29">
        <f>G36/D36</f>
        <v>0.16301128921945798</v>
      </c>
      <c r="I36" s="57">
        <f>SUM(I37:I40)</f>
        <v>38159481</v>
      </c>
      <c r="J36" s="57">
        <f>SUM(J37:J40)</f>
        <v>38110241</v>
      </c>
      <c r="K36" s="57">
        <f>SUM(K37:K40)</f>
        <v>76269722</v>
      </c>
      <c r="L36" s="29">
        <f t="shared" ref="L36:L37" si="13">K36/D36</f>
        <v>0.16301128921945798</v>
      </c>
      <c r="M36" s="29">
        <f>K36/D36</f>
        <v>0.16301128921945798</v>
      </c>
      <c r="N36" s="34"/>
    </row>
    <row r="37" spans="2:14" x14ac:dyDescent="0.3">
      <c r="B37" s="180">
        <v>15</v>
      </c>
      <c r="C37" s="12" t="s">
        <v>39</v>
      </c>
      <c r="D37" s="195">
        <v>46200000</v>
      </c>
      <c r="E37" s="188">
        <v>3019481</v>
      </c>
      <c r="F37" s="188">
        <f>5989722-E37</f>
        <v>2970241</v>
      </c>
      <c r="G37" s="174">
        <f>E37+F37</f>
        <v>5989722</v>
      </c>
      <c r="H37" s="185">
        <f>G37/D37</f>
        <v>0.12964766233766234</v>
      </c>
      <c r="I37" s="174">
        <f>E37</f>
        <v>3019481</v>
      </c>
      <c r="J37" s="188">
        <f>F37</f>
        <v>2970241</v>
      </c>
      <c r="K37" s="174">
        <f>I37+J37</f>
        <v>5989722</v>
      </c>
      <c r="L37" s="184">
        <f t="shared" si="13"/>
        <v>0.12964766233766234</v>
      </c>
      <c r="M37" s="185">
        <f>L37</f>
        <v>0.12964766233766234</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35140000</v>
      </c>
      <c r="F39" s="172">
        <f>70280000-E39</f>
        <v>35140000</v>
      </c>
      <c r="G39" s="170">
        <f>E39+F39</f>
        <v>70280000</v>
      </c>
      <c r="H39" s="177">
        <f>G39/D39</f>
        <v>0.16666666666666666</v>
      </c>
      <c r="I39" s="174">
        <f>E39</f>
        <v>35140000</v>
      </c>
      <c r="J39" s="188">
        <f>F39</f>
        <v>35140000</v>
      </c>
      <c r="K39" s="170">
        <f>I39+J39</f>
        <v>70280000</v>
      </c>
      <c r="L39" s="175">
        <f>K39/D39</f>
        <v>0.16666666666666666</v>
      </c>
      <c r="M39" s="177">
        <f>L39</f>
        <v>0.16666666666666666</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2129000</v>
      </c>
      <c r="F41" s="57">
        <f>SUM(F42:F47)</f>
        <v>0</v>
      </c>
      <c r="G41" s="54">
        <f>SUM(G42:G47)</f>
        <v>2129000</v>
      </c>
      <c r="H41" s="29">
        <v>0.1027</v>
      </c>
      <c r="I41" s="54">
        <f>SUM(I42:I47)</f>
        <v>2129000</v>
      </c>
      <c r="J41" s="54">
        <f>SUM(J42:J47)</f>
        <v>0</v>
      </c>
      <c r="K41" s="54">
        <f>SUM(K42:K47)</f>
        <v>2129000</v>
      </c>
      <c r="L41" s="29">
        <f>K41/D41</f>
        <v>5.8853937740329459E-2</v>
      </c>
      <c r="M41" s="30">
        <f>K41/D41</f>
        <v>5.8853937740329459E-2</v>
      </c>
      <c r="N41" s="31"/>
    </row>
    <row r="42" spans="2:14" x14ac:dyDescent="0.3">
      <c r="B42" s="180">
        <v>17</v>
      </c>
      <c r="C42" s="12" t="s">
        <v>32</v>
      </c>
      <c r="D42" s="187">
        <v>21430000</v>
      </c>
      <c r="E42" s="188">
        <v>1729000</v>
      </c>
      <c r="F42" s="172"/>
      <c r="G42" s="174">
        <f>E42+F42</f>
        <v>1729000</v>
      </c>
      <c r="H42" s="185">
        <f>G42/D42</f>
        <v>8.068128791413906E-2</v>
      </c>
      <c r="I42" s="174">
        <f>E42</f>
        <v>1729000</v>
      </c>
      <c r="J42" s="188">
        <f>F42</f>
        <v>0</v>
      </c>
      <c r="K42" s="174">
        <f>I42+J42</f>
        <v>1729000</v>
      </c>
      <c r="L42" s="184">
        <f>K42/D42</f>
        <v>8.068128791413906E-2</v>
      </c>
      <c r="M42" s="185">
        <f>L42</f>
        <v>8.068128791413906E-2</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400000</v>
      </c>
      <c r="F44" s="172"/>
      <c r="G44" s="170">
        <f>E44+F44</f>
        <v>400000</v>
      </c>
      <c r="H44" s="177">
        <f>G44/D44</f>
        <v>9.6618357487922704E-2</v>
      </c>
      <c r="I44" s="174">
        <f t="shared" ref="I44:J44" si="14">E44</f>
        <v>400000</v>
      </c>
      <c r="J44" s="188">
        <f t="shared" si="14"/>
        <v>0</v>
      </c>
      <c r="K44" s="170">
        <f>I44+J44</f>
        <v>400000</v>
      </c>
      <c r="L44" s="175">
        <f>K44/D44</f>
        <v>9.6618357487922704E-2</v>
      </c>
      <c r="M44" s="177">
        <f>L44</f>
        <v>9.6618357487922704E-2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4271800</v>
      </c>
      <c r="E48" s="52">
        <f>SUM(E49)</f>
        <v>0</v>
      </c>
      <c r="F48" s="52">
        <f>SUM(F49)</f>
        <v>0</v>
      </c>
      <c r="G48" s="58">
        <f>SUM(G49)</f>
        <v>0</v>
      </c>
      <c r="H48" s="44">
        <f>G48/D48</f>
        <v>0</v>
      </c>
      <c r="I48" s="58">
        <f>SUM(I49)</f>
        <v>0</v>
      </c>
      <c r="J48" s="58">
        <f>SUM(J49)</f>
        <v>0</v>
      </c>
      <c r="K48" s="58">
        <f>SUM(K49)</f>
        <v>0</v>
      </c>
      <c r="L48" s="44">
        <f>K48/D48</f>
        <v>0</v>
      </c>
      <c r="M48" s="20">
        <f>K48/D48</f>
        <v>0</v>
      </c>
      <c r="N48" s="21"/>
    </row>
    <row r="49" spans="2:15" ht="41.25" customHeight="1" x14ac:dyDescent="0.3">
      <c r="B49" s="32"/>
      <c r="C49" s="35" t="s">
        <v>64</v>
      </c>
      <c r="D49" s="57">
        <f>SUM(D50:D53)</f>
        <v>4271800</v>
      </c>
      <c r="E49" s="57">
        <f>SUM(E50:E53)</f>
        <v>0</v>
      </c>
      <c r="F49" s="57">
        <f>SUM(F50:F53)</f>
        <v>0</v>
      </c>
      <c r="G49" s="57">
        <f>SUM(G50:G53)</f>
        <v>0</v>
      </c>
      <c r="H49" s="48">
        <f>G49/D49</f>
        <v>0</v>
      </c>
      <c r="I49" s="57">
        <f>SUM(I50:I53)</f>
        <v>0</v>
      </c>
      <c r="J49" s="57">
        <f>SUM(J50:J53)</f>
        <v>0</v>
      </c>
      <c r="K49" s="57">
        <f>SUM(K50:K53)</f>
        <v>0</v>
      </c>
      <c r="L49" s="47">
        <f>K49/D49</f>
        <v>0</v>
      </c>
      <c r="M49" s="29">
        <f>K49/D49</f>
        <v>0</v>
      </c>
      <c r="N49" s="37"/>
    </row>
    <row r="50" spans="2:15" x14ac:dyDescent="0.3">
      <c r="B50" s="192">
        <v>20</v>
      </c>
      <c r="C50" s="17" t="s">
        <v>41</v>
      </c>
      <c r="D50" s="182">
        <v>940000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3331800</v>
      </c>
      <c r="E52" s="188"/>
      <c r="F52" s="188"/>
      <c r="G52" s="174">
        <f>E52+F52</f>
        <v>0</v>
      </c>
      <c r="H52" s="185">
        <f>G52/D52</f>
        <v>0</v>
      </c>
      <c r="I52" s="170">
        <f>E52</f>
        <v>0</v>
      </c>
      <c r="J52" s="170">
        <f>F52</f>
        <v>0</v>
      </c>
      <c r="K52" s="174">
        <f>I52+J52</f>
        <v>0</v>
      </c>
      <c r="L52" s="184">
        <f>K52/D52</f>
        <v>0</v>
      </c>
      <c r="M52" s="185">
        <f>L52</f>
        <v>0</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15000000</v>
      </c>
      <c r="E54" s="53">
        <f t="shared" ref="E54:M54" si="16">E55</f>
        <v>4000000</v>
      </c>
      <c r="F54" s="53">
        <f t="shared" si="16"/>
        <v>5000000</v>
      </c>
      <c r="G54" s="53">
        <f t="shared" si="16"/>
        <v>9000000</v>
      </c>
      <c r="H54" s="80">
        <f>H55</f>
        <v>0.6</v>
      </c>
      <c r="I54" s="53">
        <f t="shared" si="16"/>
        <v>4000000</v>
      </c>
      <c r="J54" s="53">
        <f t="shared" si="16"/>
        <v>5000000</v>
      </c>
      <c r="K54" s="53">
        <f t="shared" si="16"/>
        <v>9000000</v>
      </c>
      <c r="L54" s="80">
        <f>L55</f>
        <v>0.6</v>
      </c>
      <c r="M54" s="80">
        <f t="shared" si="16"/>
        <v>0.6</v>
      </c>
      <c r="N54" s="24"/>
    </row>
    <row r="55" spans="2:15" ht="17.25" customHeight="1" x14ac:dyDescent="0.3">
      <c r="B55" s="27"/>
      <c r="C55" s="35" t="s">
        <v>65</v>
      </c>
      <c r="D55" s="57">
        <f>SUM(D56:D59)</f>
        <v>15000000</v>
      </c>
      <c r="E55" s="57">
        <f>SUM(E56:E59)</f>
        <v>4000000</v>
      </c>
      <c r="F55" s="57">
        <f>SUM(F56:F59)</f>
        <v>5000000</v>
      </c>
      <c r="G55" s="57">
        <f>SUM(G56:G59)</f>
        <v>9000000</v>
      </c>
      <c r="H55" s="48">
        <f>G55/D55</f>
        <v>0.6</v>
      </c>
      <c r="I55" s="57">
        <f>SUM(I56:I59)</f>
        <v>4000000</v>
      </c>
      <c r="J55" s="57">
        <f>SUM(J56:J59)</f>
        <v>5000000</v>
      </c>
      <c r="K55" s="57">
        <f>SUM(K56:K59)</f>
        <v>9000000</v>
      </c>
      <c r="L55" s="47">
        <f>K55/D55</f>
        <v>0.6</v>
      </c>
      <c r="M55" s="47">
        <f>SUM(L55)</f>
        <v>0.6</v>
      </c>
      <c r="N55" s="37"/>
    </row>
    <row r="56" spans="2:15" x14ac:dyDescent="0.3">
      <c r="B56" s="192">
        <v>22</v>
      </c>
      <c r="C56" s="15" t="s">
        <v>55</v>
      </c>
      <c r="D56" s="182">
        <v>9000000</v>
      </c>
      <c r="E56" s="172">
        <v>4000000</v>
      </c>
      <c r="F56" s="172">
        <f>9000000-E56</f>
        <v>5000000</v>
      </c>
      <c r="G56" s="170">
        <f>E56+F56</f>
        <v>9000000</v>
      </c>
      <c r="H56" s="177">
        <f>G56/D56</f>
        <v>1</v>
      </c>
      <c r="I56" s="170">
        <f>E56</f>
        <v>4000000</v>
      </c>
      <c r="J56" s="172">
        <f>F56</f>
        <v>5000000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6000000</v>
      </c>
      <c r="E58" s="188"/>
      <c r="F58" s="188"/>
      <c r="G58" s="174">
        <f>E58+F58</f>
        <v>0</v>
      </c>
      <c r="H58" s="185">
        <f>G58/D58</f>
        <v>0</v>
      </c>
      <c r="I58" s="189">
        <f>E58</f>
        <v>0</v>
      </c>
      <c r="J58" s="188">
        <f>F58</f>
        <v>0</v>
      </c>
      <c r="K58" s="174">
        <f>I58+J58</f>
        <v>0</v>
      </c>
      <c r="L58" s="184">
        <f>K58/D58</f>
        <v>0</v>
      </c>
      <c r="M58" s="185">
        <f>L58</f>
        <v>0</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1800000</v>
      </c>
      <c r="F60" s="58">
        <f t="shared" si="17"/>
        <v>1800000</v>
      </c>
      <c r="G60" s="58">
        <f t="shared" si="17"/>
        <v>3600000</v>
      </c>
      <c r="H60" s="46">
        <f>G60/D60</f>
        <v>0.16666666666666666</v>
      </c>
      <c r="I60" s="58">
        <f t="shared" ref="I60:K61" si="18">SUM(I61)</f>
        <v>1800000</v>
      </c>
      <c r="J60" s="58">
        <f t="shared" si="18"/>
        <v>1800000</v>
      </c>
      <c r="K60" s="58">
        <f t="shared" si="18"/>
        <v>3600000</v>
      </c>
      <c r="L60" s="44">
        <f>K60/D60</f>
        <v>0.16666666666666666</v>
      </c>
      <c r="M60" s="23">
        <f>SUM(L60)</f>
        <v>0.16666666666666666</v>
      </c>
      <c r="N60" s="21"/>
    </row>
    <row r="61" spans="2:15" ht="25.5" customHeight="1" x14ac:dyDescent="0.3">
      <c r="B61" s="25"/>
      <c r="C61" s="38" t="s">
        <v>82</v>
      </c>
      <c r="D61" s="59">
        <f t="shared" si="17"/>
        <v>21600000</v>
      </c>
      <c r="E61" s="60">
        <f t="shared" si="17"/>
        <v>1800000</v>
      </c>
      <c r="F61" s="59">
        <f t="shared" si="17"/>
        <v>1800000</v>
      </c>
      <c r="G61" s="57">
        <f t="shared" si="17"/>
        <v>3600000</v>
      </c>
      <c r="H61" s="47">
        <f>G61/D61</f>
        <v>0.16666666666666666</v>
      </c>
      <c r="I61" s="59">
        <f t="shared" si="18"/>
        <v>1800000</v>
      </c>
      <c r="J61" s="59">
        <f t="shared" si="18"/>
        <v>1800000</v>
      </c>
      <c r="K61" s="59">
        <f t="shared" si="18"/>
        <v>3600000</v>
      </c>
      <c r="L61" s="47">
        <f>K61/D61</f>
        <v>0.16666666666666666</v>
      </c>
      <c r="M61" s="30">
        <f>SUM(L61)</f>
        <v>0.16666666666666666</v>
      </c>
      <c r="N61" s="31"/>
    </row>
    <row r="62" spans="2:15" x14ac:dyDescent="0.3">
      <c r="B62" s="180">
        <v>25</v>
      </c>
      <c r="C62" s="12" t="s">
        <v>44</v>
      </c>
      <c r="D62" s="187">
        <v>21600000</v>
      </c>
      <c r="E62" s="188">
        <v>1800000</v>
      </c>
      <c r="F62" s="188">
        <f>3600000-E62</f>
        <v>1800000</v>
      </c>
      <c r="G62" s="170">
        <f>E62+F62</f>
        <v>3600000</v>
      </c>
      <c r="H62" s="185">
        <f>G62/D62</f>
        <v>0.16666666666666666</v>
      </c>
      <c r="I62" s="174">
        <f>E62</f>
        <v>1800000</v>
      </c>
      <c r="J62" s="188">
        <f>F62</f>
        <v>1800000</v>
      </c>
      <c r="K62" s="174">
        <f>I62+J62</f>
        <v>3600000</v>
      </c>
      <c r="L62" s="184">
        <f>K62/D62</f>
        <v>0.16666666666666666</v>
      </c>
      <c r="M62" s="185">
        <f>L62</f>
        <v>0.16666666666666666</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48250000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48250000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4000000</v>
      </c>
      <c r="E68" s="188"/>
      <c r="F68" s="188"/>
      <c r="G68" s="174">
        <f>E68+F68</f>
        <v>0</v>
      </c>
      <c r="H68" s="185">
        <f>G68/D68</f>
        <v>0</v>
      </c>
      <c r="I68" s="174">
        <f>E68</f>
        <v>0</v>
      </c>
      <c r="J68" s="174">
        <f>F68</f>
        <v>0</v>
      </c>
      <c r="K68" s="174">
        <f>I68+J68</f>
        <v>0</v>
      </c>
      <c r="L68" s="184">
        <f>K68/D68</f>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7000000</v>
      </c>
      <c r="E70" s="52">
        <f t="shared" si="19"/>
        <v>0</v>
      </c>
      <c r="F70" s="52">
        <f t="shared" si="19"/>
        <v>0</v>
      </c>
      <c r="G70" s="52">
        <f t="shared" si="19"/>
        <v>0</v>
      </c>
      <c r="H70" s="23">
        <f>G70/D70</f>
        <v>0</v>
      </c>
      <c r="I70" s="52">
        <f t="shared" ref="I70:K71" si="20">SUM(I71)</f>
        <v>0</v>
      </c>
      <c r="J70" s="52">
        <f t="shared" si="20"/>
        <v>0</v>
      </c>
      <c r="K70" s="52">
        <f t="shared" si="20"/>
        <v>0</v>
      </c>
      <c r="L70" s="44">
        <f>K70/D70</f>
        <v>0</v>
      </c>
      <c r="M70" s="68">
        <f>SUM(L70)</f>
        <v>0</v>
      </c>
      <c r="N70" s="43"/>
    </row>
    <row r="71" spans="2:26" ht="38.25" customHeight="1" x14ac:dyDescent="0.3">
      <c r="B71" s="25"/>
      <c r="C71" s="39" t="s">
        <v>67</v>
      </c>
      <c r="D71" s="60">
        <f t="shared" si="19"/>
        <v>7000000</v>
      </c>
      <c r="E71" s="60">
        <f t="shared" si="19"/>
        <v>0</v>
      </c>
      <c r="F71" s="60">
        <f t="shared" si="19"/>
        <v>0</v>
      </c>
      <c r="G71" s="60">
        <f t="shared" si="19"/>
        <v>0</v>
      </c>
      <c r="H71" s="29">
        <f>G71/D71</f>
        <v>0</v>
      </c>
      <c r="I71" s="60">
        <f t="shared" si="20"/>
        <v>0</v>
      </c>
      <c r="J71" s="60">
        <f t="shared" si="20"/>
        <v>0</v>
      </c>
      <c r="K71" s="60">
        <f t="shared" si="20"/>
        <v>0</v>
      </c>
      <c r="L71" s="47">
        <f>K71/D71</f>
        <v>0</v>
      </c>
      <c r="M71" s="29">
        <f>SUM(L71)</f>
        <v>0</v>
      </c>
      <c r="N71" s="40"/>
    </row>
    <row r="72" spans="2:26" x14ac:dyDescent="0.3">
      <c r="B72" s="180">
        <v>28</v>
      </c>
      <c r="C72" s="17" t="s">
        <v>47</v>
      </c>
      <c r="D72" s="182">
        <v>7000000</v>
      </c>
      <c r="E72" s="172"/>
      <c r="F72" s="172"/>
      <c r="G72" s="174">
        <f>E72+F72</f>
        <v>0</v>
      </c>
      <c r="H72" s="177">
        <f>G72/D72</f>
        <v>0</v>
      </c>
      <c r="I72" s="170">
        <f>E72</f>
        <v>0</v>
      </c>
      <c r="J72" s="172">
        <f>F72</f>
        <v>0</v>
      </c>
      <c r="K72" s="174">
        <f>I72+J72</f>
        <v>0</v>
      </c>
      <c r="L72" s="175">
        <f>K72/D72</f>
        <v>0</v>
      </c>
      <c r="M72" s="177">
        <f>L72</f>
        <v>0</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2801486092</v>
      </c>
      <c r="E74" s="165">
        <f>E9+E48+E54+E60+E64+E70</f>
        <v>254639885</v>
      </c>
      <c r="F74" s="165">
        <f>F9+F48+F54+F60+F64+F70</f>
        <v>368579769</v>
      </c>
      <c r="G74" s="159">
        <f>G9+G48+G54+G60+G64+G70</f>
        <v>623219654</v>
      </c>
      <c r="H74" s="157">
        <f>G74/D74</f>
        <v>0.22246037764730764</v>
      </c>
      <c r="I74" s="159">
        <f>I9+I48+I54+I60+I64+I70</f>
        <v>254639885</v>
      </c>
      <c r="J74" s="159">
        <f>J9+J48+J54+J60+J64+J70</f>
        <v>368579769</v>
      </c>
      <c r="K74" s="159">
        <f>K9+K48+K54+K60+K64+K70</f>
        <v>623219654</v>
      </c>
      <c r="L74" s="157">
        <f>K74/D74</f>
        <v>0.22246037764730764</v>
      </c>
      <c r="M74" s="157">
        <f>K74/D74</f>
        <v>0.22246037764730764</v>
      </c>
      <c r="N74" s="153"/>
    </row>
    <row r="75" spans="2:26" ht="15" thickBot="1" x14ac:dyDescent="0.35">
      <c r="B75" s="162"/>
      <c r="C75" s="164"/>
      <c r="D75" s="160"/>
      <c r="E75" s="166"/>
      <c r="F75" s="166"/>
      <c r="G75" s="160"/>
      <c r="H75" s="158"/>
      <c r="I75" s="160"/>
      <c r="J75" s="160"/>
      <c r="K75" s="160"/>
      <c r="L75" s="158"/>
      <c r="M75" s="158"/>
      <c r="N75" s="154"/>
    </row>
    <row r="76" spans="2:26" x14ac:dyDescent="0.3">
      <c r="B76" s="92"/>
      <c r="D76" s="2"/>
      <c r="E76" s="69"/>
      <c r="F76" s="7"/>
      <c r="G76" s="61"/>
      <c r="L76" s="92"/>
    </row>
    <row r="77" spans="2:26" x14ac:dyDescent="0.3">
      <c r="D77" s="4"/>
      <c r="E77" s="62"/>
      <c r="F77" s="63"/>
      <c r="G77" s="45"/>
      <c r="J77" s="155" t="s">
        <v>101</v>
      </c>
      <c r="K77" s="155"/>
      <c r="L77" s="155"/>
      <c r="M77" s="155"/>
      <c r="N77" s="93"/>
    </row>
    <row r="78" spans="2:26" x14ac:dyDescent="0.3">
      <c r="D78" s="4"/>
      <c r="E78" s="62"/>
      <c r="G78" s="61"/>
      <c r="J78" s="155" t="s">
        <v>56</v>
      </c>
      <c r="K78" s="155"/>
      <c r="L78" s="155"/>
      <c r="M78" s="155"/>
      <c r="N78" s="93"/>
    </row>
    <row r="79" spans="2:26" x14ac:dyDescent="0.3">
      <c r="D79" s="4"/>
      <c r="E79" s="62"/>
      <c r="K79" s="93"/>
      <c r="L79" s="93"/>
      <c r="M79" s="93"/>
      <c r="N79" s="93"/>
    </row>
    <row r="80" spans="2:26" x14ac:dyDescent="0.3">
      <c r="D80" s="4"/>
      <c r="E80" s="70"/>
      <c r="F80" s="62"/>
      <c r="G80" s="45"/>
      <c r="K80" s="93"/>
      <c r="L80" s="93"/>
      <c r="M80" s="93"/>
      <c r="N80" s="93"/>
    </row>
    <row r="81" spans="2:14" x14ac:dyDescent="0.3">
      <c r="D81" s="78"/>
      <c r="K81" s="93"/>
      <c r="L81" s="93"/>
      <c r="M81" s="93"/>
      <c r="N81" s="93"/>
    </row>
    <row r="82" spans="2:14" x14ac:dyDescent="0.3">
      <c r="D82" s="4"/>
      <c r="E82" s="63"/>
      <c r="J82" s="156" t="s">
        <v>59</v>
      </c>
      <c r="K82" s="156"/>
      <c r="L82" s="156"/>
      <c r="M82" s="156"/>
      <c r="N82" s="93"/>
    </row>
    <row r="83" spans="2:14" ht="13.8" customHeight="1" x14ac:dyDescent="0.3">
      <c r="D83" s="78"/>
      <c r="J83" s="155" t="s">
        <v>79</v>
      </c>
      <c r="K83" s="155"/>
      <c r="L83" s="155"/>
      <c r="M83" s="155"/>
      <c r="N83" s="93"/>
    </row>
    <row r="84" spans="2:14" x14ac:dyDescent="0.3">
      <c r="D84" s="4"/>
      <c r="J84" s="155" t="s">
        <v>60</v>
      </c>
      <c r="K84" s="155"/>
      <c r="L84" s="155"/>
      <c r="M84" s="155"/>
      <c r="N84" s="5"/>
    </row>
    <row r="85" spans="2:14" x14ac:dyDescent="0.3">
      <c r="B85" s="92"/>
      <c r="D85" s="2"/>
      <c r="E85" s="71"/>
      <c r="L85" s="92"/>
    </row>
    <row r="86" spans="2:14" x14ac:dyDescent="0.3">
      <c r="B86" s="92"/>
      <c r="D86" s="2"/>
      <c r="E86" s="71"/>
      <c r="L86" s="92"/>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70" orientation="landscape" horizontalDpi="300" verticalDpi="300" r:id="rId1"/>
  <rowBreaks count="2" manualBreakCount="2">
    <brk id="35" max="13" man="1"/>
    <brk id="59" max="13"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AE89-367F-4583-B034-F6D8D3A38606}">
  <dimension ref="A1:Z95"/>
  <sheetViews>
    <sheetView view="pageBreakPreview" zoomScale="78" zoomScaleNormal="75" zoomScaleSheetLayoutView="78" workbookViewId="0">
      <pane xSplit="3" ySplit="2" topLeftCell="D3" activePane="bottomRight" state="frozen"/>
      <selection pane="topRight" activeCell="C1" sqref="C1"/>
      <selection pane="bottomLeft" activeCell="A3" sqref="A3"/>
      <selection pane="bottomRight" activeCell="F66" sqref="F66:F67"/>
    </sheetView>
  </sheetViews>
  <sheetFormatPr defaultRowHeight="14.4" x14ac:dyDescent="0.3"/>
  <cols>
    <col min="1" max="1" width="8.3320312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0.5546875" bestFit="1"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91"/>
      <c r="H3" s="91"/>
      <c r="I3" s="91"/>
      <c r="J3" s="91"/>
      <c r="K3" s="91"/>
      <c r="L3" s="91"/>
      <c r="M3" s="91"/>
      <c r="N3" s="91"/>
    </row>
    <row r="4" spans="1:19" x14ac:dyDescent="0.3">
      <c r="B4" s="213" t="s">
        <v>98</v>
      </c>
      <c r="C4" s="213"/>
      <c r="D4" s="1"/>
      <c r="E4" s="6"/>
      <c r="F4" s="6"/>
      <c r="G4" s="3"/>
      <c r="H4" s="91"/>
      <c r="I4" s="91"/>
      <c r="J4" s="91"/>
      <c r="K4" s="91"/>
      <c r="L4" s="91"/>
      <c r="M4" s="91"/>
      <c r="N4" s="91"/>
    </row>
    <row r="5" spans="1:19" x14ac:dyDescent="0.3">
      <c r="B5" s="213"/>
      <c r="C5" s="213"/>
      <c r="D5" s="1"/>
      <c r="E5" s="6"/>
      <c r="F5" s="6"/>
      <c r="G5" s="3"/>
      <c r="H5" s="91"/>
      <c r="I5" s="91"/>
      <c r="J5" s="91"/>
      <c r="K5" s="91"/>
      <c r="L5" s="91"/>
      <c r="M5" s="91"/>
      <c r="N5" s="91"/>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2705364292</v>
      </c>
      <c r="E9" s="51">
        <f>I9</f>
        <v>167402542</v>
      </c>
      <c r="F9" s="51">
        <f>F10+F15+F18+F21+F36+F41</f>
        <v>81437343</v>
      </c>
      <c r="G9" s="51">
        <f>G10+G15+G18+G21+G36+G41</f>
        <v>248839885</v>
      </c>
      <c r="H9" s="50">
        <f>G9/D9</f>
        <v>9.1980176472292993E-2</v>
      </c>
      <c r="I9" s="51">
        <f>I10+I15+I18+I21+I36+I41</f>
        <v>167402542</v>
      </c>
      <c r="J9" s="51">
        <f t="shared" ref="J9:K9" si="0">J10+J15+J18+J21+J36+J41</f>
        <v>81437343</v>
      </c>
      <c r="K9" s="51">
        <f t="shared" si="0"/>
        <v>248839885</v>
      </c>
      <c r="L9" s="50">
        <f>K9/D9</f>
        <v>9.1980176472292993E-2</v>
      </c>
      <c r="M9" s="72">
        <f>K9/D9</f>
        <v>9.1980176472292993E-2</v>
      </c>
      <c r="N9" s="41"/>
      <c r="O9"/>
      <c r="P9"/>
      <c r="Q9"/>
      <c r="R9"/>
      <c r="S9"/>
    </row>
    <row r="10" spans="1:19" ht="30" customHeight="1" x14ac:dyDescent="0.3">
      <c r="B10" s="25"/>
      <c r="C10" s="26" t="s">
        <v>61</v>
      </c>
      <c r="D10" s="54">
        <f>SUM(D11:D14)</f>
        <v>10883200</v>
      </c>
      <c r="E10" s="54">
        <f>SUM(E11:E14)</f>
        <v>0</v>
      </c>
      <c r="F10" s="54">
        <f>SUM(F11:F14)</f>
        <v>0</v>
      </c>
      <c r="G10" s="54">
        <f>SUM(G11:G14)</f>
        <v>0</v>
      </c>
      <c r="H10" s="29">
        <f>G10/D10</f>
        <v>0</v>
      </c>
      <c r="I10" s="54">
        <f>SUM(I11:I14)</f>
        <v>0</v>
      </c>
      <c r="J10" s="54">
        <f>SUM(J11:J14)</f>
        <v>0</v>
      </c>
      <c r="K10" s="54">
        <f>SUM(K11:K14)</f>
        <v>0</v>
      </c>
      <c r="L10" s="47">
        <f>K10/D10</f>
        <v>0</v>
      </c>
      <c r="M10" s="67">
        <f>K10/D10</f>
        <v>0</v>
      </c>
      <c r="N10" s="28"/>
    </row>
    <row r="11" spans="1:19" x14ac:dyDescent="0.3">
      <c r="B11" s="180">
        <v>1</v>
      </c>
      <c r="C11" s="12" t="s">
        <v>30</v>
      </c>
      <c r="D11" s="195">
        <v>8455200</v>
      </c>
      <c r="E11" s="188"/>
      <c r="F11" s="188"/>
      <c r="G11" s="174">
        <f>E11+F11</f>
        <v>0</v>
      </c>
      <c r="H11" s="177">
        <f>G11/D11</f>
        <v>0</v>
      </c>
      <c r="I11" s="174">
        <f>E11</f>
        <v>0</v>
      </c>
      <c r="J11" s="174">
        <f>F11</f>
        <v>0</v>
      </c>
      <c r="K11" s="174">
        <f>I11+J11</f>
        <v>0</v>
      </c>
      <c r="L11" s="175">
        <f>K11/D11</f>
        <v>0</v>
      </c>
      <c r="M11" s="185">
        <f>L11</f>
        <v>0</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2428000</v>
      </c>
      <c r="E13" s="188"/>
      <c r="F13" s="206"/>
      <c r="G13" s="174">
        <f>E13+F13</f>
        <v>0</v>
      </c>
      <c r="H13" s="177">
        <f>G13/D13</f>
        <v>0</v>
      </c>
      <c r="I13" s="174">
        <f>E13</f>
        <v>0</v>
      </c>
      <c r="J13" s="174">
        <f>F13</f>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167402542</v>
      </c>
      <c r="F15" s="55">
        <f>SUM(F16)</f>
        <v>41033862</v>
      </c>
      <c r="G15" s="55">
        <f>SUM(G16)</f>
        <v>208436404</v>
      </c>
      <c r="H15" s="66">
        <f>G15/D15</f>
        <v>0.10112605092030388</v>
      </c>
      <c r="I15" s="56">
        <f>SUM(I16)</f>
        <v>167402542</v>
      </c>
      <c r="J15" s="56">
        <f>SUM(J16)</f>
        <v>41033862</v>
      </c>
      <c r="K15" s="56">
        <f>SUM(K16)</f>
        <v>208436404</v>
      </c>
      <c r="L15" s="29">
        <f>K15/D15</f>
        <v>0.10112605092030388</v>
      </c>
      <c r="M15" s="30">
        <f>K15/D15</f>
        <v>0.10112605092030388</v>
      </c>
      <c r="N15" s="31"/>
    </row>
    <row r="16" spans="1:19" x14ac:dyDescent="0.3">
      <c r="B16" s="180">
        <v>3</v>
      </c>
      <c r="C16" s="12" t="s">
        <v>33</v>
      </c>
      <c r="D16" s="187">
        <v>2061154392</v>
      </c>
      <c r="E16" s="203">
        <v>167402542</v>
      </c>
      <c r="F16" s="203">
        <f>208436404-E16</f>
        <v>41033862</v>
      </c>
      <c r="G16" s="174">
        <f>E16+F16</f>
        <v>208436404</v>
      </c>
      <c r="H16" s="177">
        <f>G16/D16</f>
        <v>0.10112605092030388</v>
      </c>
      <c r="I16" s="170">
        <f>E16</f>
        <v>167402542</v>
      </c>
      <c r="J16" s="170">
        <f>F16</f>
        <v>41033862</v>
      </c>
      <c r="K16" s="170">
        <f>I16+J16</f>
        <v>208436404</v>
      </c>
      <c r="L16" s="175">
        <f>K16/D16</f>
        <v>0.10112605092030388</v>
      </c>
      <c r="M16" s="185">
        <f>L16</f>
        <v>0.10112605092030388</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0</v>
      </c>
      <c r="F18" s="57">
        <f>SUM(F19)</f>
        <v>0</v>
      </c>
      <c r="G18" s="57">
        <f>SUM(G19)</f>
        <v>0</v>
      </c>
      <c r="H18" s="48">
        <f>G18/D18</f>
        <v>0</v>
      </c>
      <c r="I18" s="57">
        <f>SUM(I19)</f>
        <v>0</v>
      </c>
      <c r="J18" s="57">
        <f>SUM(J19)</f>
        <v>0</v>
      </c>
      <c r="K18" s="57">
        <f>SUM(K19)</f>
        <v>0</v>
      </c>
      <c r="L18" s="47">
        <f>K18/D18</f>
        <v>0</v>
      </c>
      <c r="M18" s="47">
        <f>K18/D18</f>
        <v>0</v>
      </c>
      <c r="N18" s="34"/>
    </row>
    <row r="19" spans="2:14" x14ac:dyDescent="0.3">
      <c r="B19" s="192">
        <v>4</v>
      </c>
      <c r="C19" s="15" t="s">
        <v>49</v>
      </c>
      <c r="D19" s="182">
        <v>50000000</v>
      </c>
      <c r="E19" s="172"/>
      <c r="F19" s="172"/>
      <c r="G19" s="170">
        <f>E19+F19</f>
        <v>0</v>
      </c>
      <c r="H19" s="202">
        <f>G19/D19</f>
        <v>0</v>
      </c>
      <c r="I19" s="170">
        <f>SUM(E19)</f>
        <v>0</v>
      </c>
      <c r="J19" s="170">
        <f>F19</f>
        <v>0</v>
      </c>
      <c r="K19" s="170">
        <f>I19+J19</f>
        <v>0</v>
      </c>
      <c r="L19" s="201">
        <f>K19/D19</f>
        <v>0</v>
      </c>
      <c r="M19" s="202">
        <f>L19</f>
        <v>0</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79272400</v>
      </c>
      <c r="E21" s="57">
        <f>SUM(E22:E35)</f>
        <v>0</v>
      </c>
      <c r="F21" s="57">
        <f>SUM(F22:F35)</f>
        <v>115000</v>
      </c>
      <c r="G21" s="57">
        <f>SUM(G22:G35)</f>
        <v>115000</v>
      </c>
      <c r="H21" s="66">
        <f>G21/D21</f>
        <v>1.4506940624984231E-3</v>
      </c>
      <c r="I21" s="57">
        <f>SUM(I22:I35)</f>
        <v>0</v>
      </c>
      <c r="J21" s="57">
        <f>SUM(J22:J35)</f>
        <v>115000</v>
      </c>
      <c r="K21" s="57">
        <f>SUM(K22:K35)</f>
        <v>115000</v>
      </c>
      <c r="L21" s="29">
        <f>K21/D21</f>
        <v>1.4506940624984231E-3</v>
      </c>
      <c r="M21" s="30">
        <f>K21/D21</f>
        <v>1.4506940624984231E-3</v>
      </c>
      <c r="N21" s="36"/>
    </row>
    <row r="22" spans="2:14" x14ac:dyDescent="0.3">
      <c r="B22" s="180">
        <v>5</v>
      </c>
      <c r="C22" s="17" t="s">
        <v>34</v>
      </c>
      <c r="D22" s="182">
        <v>6234000</v>
      </c>
      <c r="E22" s="172"/>
      <c r="F22" s="172"/>
      <c r="G22" s="174">
        <f>E22+F22</f>
        <v>0</v>
      </c>
      <c r="H22" s="199">
        <f>G22/D22</f>
        <v>0</v>
      </c>
      <c r="I22" s="189">
        <f>E22</f>
        <v>0</v>
      </c>
      <c r="J22" s="189">
        <f>F22</f>
        <v>0</v>
      </c>
      <c r="K22" s="189">
        <f>I22+J22</f>
        <v>0</v>
      </c>
      <c r="L22" s="197">
        <f>K22/D22</f>
        <v>0</v>
      </c>
      <c r="M22" s="198">
        <f>L22</f>
        <v>0</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9195100</v>
      </c>
      <c r="E24" s="188"/>
      <c r="F24" s="188"/>
      <c r="G24" s="174">
        <f>E24+F24</f>
        <v>0</v>
      </c>
      <c r="H24" s="199">
        <f>G24/D24</f>
        <v>0</v>
      </c>
      <c r="I24" s="189">
        <f>E24</f>
        <v>0</v>
      </c>
      <c r="J24" s="189">
        <f t="shared" ref="J24" si="1">F24</f>
        <v>0</v>
      </c>
      <c r="K24" s="189">
        <f t="shared" ref="K24" si="2">I24+J24</f>
        <v>0</v>
      </c>
      <c r="L24" s="197">
        <f>K24/D24</f>
        <v>0</v>
      </c>
      <c r="M24" s="198">
        <f>L24</f>
        <v>0</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6748500</v>
      </c>
      <c r="E26" s="172"/>
      <c r="F26" s="172"/>
      <c r="G26" s="170">
        <f>E26+F26</f>
        <v>0</v>
      </c>
      <c r="H26" s="177">
        <f>G26/D26</f>
        <v>0</v>
      </c>
      <c r="I26" s="189">
        <f t="shared" ref="I26:J26" si="3">E26</f>
        <v>0</v>
      </c>
      <c r="J26" s="189">
        <f t="shared" si="3"/>
        <v>0</v>
      </c>
      <c r="K26" s="189">
        <f t="shared" ref="K26" si="4">I26+J26</f>
        <v>0</v>
      </c>
      <c r="L26" s="175">
        <f>K26/D26</f>
        <v>0</v>
      </c>
      <c r="M26" s="196">
        <f>L26</f>
        <v>0</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4114800</v>
      </c>
      <c r="E28" s="188"/>
      <c r="F28" s="188"/>
      <c r="G28" s="174">
        <f>E28+F28</f>
        <v>0</v>
      </c>
      <c r="H28" s="177">
        <f>G28/D28</f>
        <v>0</v>
      </c>
      <c r="I28" s="189">
        <f t="shared" ref="I28:J28" si="5">E28</f>
        <v>0</v>
      </c>
      <c r="J28" s="189">
        <f t="shared" si="5"/>
        <v>0</v>
      </c>
      <c r="K28" s="189">
        <f t="shared" ref="K28" si="6">I28+J28</f>
        <v>0</v>
      </c>
      <c r="L28" s="175">
        <f>K28/D28</f>
        <v>0</v>
      </c>
      <c r="M28" s="185">
        <f>L28</f>
        <v>0</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c r="F30" s="188">
        <v>115000</v>
      </c>
      <c r="G30" s="174">
        <f>E30+F30</f>
        <v>115000</v>
      </c>
      <c r="H30" s="185">
        <f>G30/D30</f>
        <v>8.3333333333333329E-2</v>
      </c>
      <c r="I30" s="189">
        <f t="shared" ref="I30:J30" si="7">E30</f>
        <v>0</v>
      </c>
      <c r="J30" s="189">
        <f t="shared" si="7"/>
        <v>115000</v>
      </c>
      <c r="K30" s="189">
        <f t="shared" ref="K30" si="8">I30+J30</f>
        <v>115000</v>
      </c>
      <c r="L30" s="184">
        <f>K30/D30</f>
        <v>8.3333333333333329E-2</v>
      </c>
      <c r="M30" s="185">
        <f>L30</f>
        <v>8.3333333333333329E-2</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11550000</v>
      </c>
      <c r="E32" s="188"/>
      <c r="F32" s="188"/>
      <c r="G32" s="174">
        <f>E32+F32</f>
        <v>0</v>
      </c>
      <c r="H32" s="185">
        <f>G32/D32</f>
        <v>0</v>
      </c>
      <c r="I32" s="189">
        <f t="shared" ref="I32:J32" si="9">E32</f>
        <v>0</v>
      </c>
      <c r="J32" s="189">
        <f t="shared" si="9"/>
        <v>0</v>
      </c>
      <c r="K32" s="189">
        <f t="shared" ref="K32" si="10">I32+J32</f>
        <v>0</v>
      </c>
      <c r="L32" s="184">
        <f>K32/D32</f>
        <v>0</v>
      </c>
      <c r="M32" s="185">
        <f>L32</f>
        <v>0</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40050000</v>
      </c>
      <c r="E34" s="188"/>
      <c r="F34" s="188"/>
      <c r="G34" s="174">
        <f>E34+F34</f>
        <v>0</v>
      </c>
      <c r="H34" s="185">
        <f>G34/D34</f>
        <v>0</v>
      </c>
      <c r="I34" s="189">
        <f t="shared" ref="I34:J34" si="11">E34</f>
        <v>0</v>
      </c>
      <c r="J34" s="189">
        <f t="shared" si="11"/>
        <v>0</v>
      </c>
      <c r="K34" s="189">
        <f t="shared" ref="K34" si="12">I34+J34</f>
        <v>0</v>
      </c>
      <c r="L34" s="184">
        <f>K34/D34</f>
        <v>0</v>
      </c>
      <c r="M34" s="185">
        <f>L34</f>
        <v>0</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0</v>
      </c>
      <c r="F36" s="57">
        <f>SUM(F37:F40)</f>
        <v>38159481</v>
      </c>
      <c r="G36" s="57">
        <f>SUM(G37:G40)</f>
        <v>38159481</v>
      </c>
      <c r="H36" s="29">
        <f>G36/D36</f>
        <v>8.1558264939728134E-2</v>
      </c>
      <c r="I36" s="57">
        <f>SUM(I37:I40)</f>
        <v>0</v>
      </c>
      <c r="J36" s="57">
        <f>SUM(J37:J40)</f>
        <v>38159481</v>
      </c>
      <c r="K36" s="57">
        <f>SUM(K37:K40)</f>
        <v>38159481</v>
      </c>
      <c r="L36" s="29">
        <f t="shared" ref="L36:L37" si="13">K36/D36</f>
        <v>8.1558264939728134E-2</v>
      </c>
      <c r="M36" s="29">
        <f>K36/D36</f>
        <v>8.1558264939728134E-2</v>
      </c>
      <c r="N36" s="34"/>
    </row>
    <row r="37" spans="2:14" x14ac:dyDescent="0.3">
      <c r="B37" s="180">
        <v>15</v>
      </c>
      <c r="C37" s="12" t="s">
        <v>39</v>
      </c>
      <c r="D37" s="195">
        <v>46200000</v>
      </c>
      <c r="E37" s="188"/>
      <c r="F37" s="188">
        <v>3019481</v>
      </c>
      <c r="G37" s="174">
        <f>E37+F37</f>
        <v>3019481</v>
      </c>
      <c r="H37" s="185">
        <f>G37/D37</f>
        <v>6.5356731601731596E-2</v>
      </c>
      <c r="I37" s="174">
        <f>E37</f>
        <v>0</v>
      </c>
      <c r="J37" s="188">
        <f>F37</f>
        <v>3019481</v>
      </c>
      <c r="K37" s="174">
        <f>I37+J37</f>
        <v>3019481</v>
      </c>
      <c r="L37" s="184">
        <f t="shared" si="13"/>
        <v>6.5356731601731596E-2</v>
      </c>
      <c r="M37" s="185">
        <f>L37</f>
        <v>6.5356731601731596E-2</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c r="F39" s="172">
        <v>35140000</v>
      </c>
      <c r="G39" s="170">
        <f>E39+F39</f>
        <v>35140000</v>
      </c>
      <c r="H39" s="177">
        <f>G39/D39</f>
        <v>8.3333333333333329E-2</v>
      </c>
      <c r="I39" s="174">
        <f>E39</f>
        <v>0</v>
      </c>
      <c r="J39" s="188">
        <f>F39</f>
        <v>35140000</v>
      </c>
      <c r="K39" s="170">
        <f>I39+J39</f>
        <v>35140000</v>
      </c>
      <c r="L39" s="175">
        <f>K39/D39</f>
        <v>8.3333333333333329E-2</v>
      </c>
      <c r="M39" s="177">
        <f>L39</f>
        <v>8.3333333333333329E-2</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0</v>
      </c>
      <c r="F41" s="57">
        <f>SUM(F42:F47)</f>
        <v>2129000</v>
      </c>
      <c r="G41" s="54">
        <f>SUM(G42:G47)</f>
        <v>2129000</v>
      </c>
      <c r="H41" s="29">
        <v>0.1027</v>
      </c>
      <c r="I41" s="54">
        <f>SUM(I42:I47)</f>
        <v>0</v>
      </c>
      <c r="J41" s="54">
        <f>SUM(J42:J47)</f>
        <v>2129000</v>
      </c>
      <c r="K41" s="54">
        <f>SUM(K42:K47)</f>
        <v>2129000</v>
      </c>
      <c r="L41" s="29">
        <f>K41/D41</f>
        <v>5.8853937740329459E-2</v>
      </c>
      <c r="M41" s="30">
        <f>K41/D41</f>
        <v>5.8853937740329459E-2</v>
      </c>
      <c r="N41" s="31"/>
    </row>
    <row r="42" spans="2:14" x14ac:dyDescent="0.3">
      <c r="B42" s="180">
        <v>17</v>
      </c>
      <c r="C42" s="12" t="s">
        <v>32</v>
      </c>
      <c r="D42" s="187">
        <v>21430000</v>
      </c>
      <c r="E42" s="188"/>
      <c r="F42" s="172">
        <v>1729000</v>
      </c>
      <c r="G42" s="174">
        <f>E42+F42</f>
        <v>1729000</v>
      </c>
      <c r="H42" s="185">
        <f>G42/D42</f>
        <v>8.068128791413906E-2</v>
      </c>
      <c r="I42" s="174">
        <f>E42</f>
        <v>0</v>
      </c>
      <c r="J42" s="188">
        <f>F42</f>
        <v>1729000</v>
      </c>
      <c r="K42" s="174">
        <f>I42+J42</f>
        <v>1729000</v>
      </c>
      <c r="L42" s="184">
        <f>K42/D42</f>
        <v>8.068128791413906E-2</v>
      </c>
      <c r="M42" s="185">
        <f>L42</f>
        <v>8.068128791413906E-2</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c r="F44" s="172">
        <v>400000</v>
      </c>
      <c r="G44" s="170">
        <f>E44+F44</f>
        <v>400000</v>
      </c>
      <c r="H44" s="177">
        <f>G44/D44</f>
        <v>9.6618357487922704E-2</v>
      </c>
      <c r="I44" s="174">
        <f t="shared" ref="I44:J44" si="14">E44</f>
        <v>0</v>
      </c>
      <c r="J44" s="188">
        <f t="shared" si="14"/>
        <v>400000</v>
      </c>
      <c r="K44" s="170">
        <f>I44+J44</f>
        <v>400000</v>
      </c>
      <c r="L44" s="175">
        <f>K44/D44</f>
        <v>9.6618357487922704E-2</v>
      </c>
      <c r="M44" s="177">
        <f>L44</f>
        <v>9.6618357487922704E-2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4271800</v>
      </c>
      <c r="E48" s="52">
        <f>SUM(E49)</f>
        <v>0</v>
      </c>
      <c r="F48" s="52">
        <f>SUM(F49)</f>
        <v>0</v>
      </c>
      <c r="G48" s="58">
        <f>SUM(G49)</f>
        <v>0</v>
      </c>
      <c r="H48" s="44">
        <f>G48/D48</f>
        <v>0</v>
      </c>
      <c r="I48" s="58">
        <f>SUM(I49)</f>
        <v>0</v>
      </c>
      <c r="J48" s="58">
        <f>SUM(J49)</f>
        <v>0</v>
      </c>
      <c r="K48" s="58">
        <f>SUM(K49)</f>
        <v>0</v>
      </c>
      <c r="L48" s="44">
        <f>K48/D48</f>
        <v>0</v>
      </c>
      <c r="M48" s="20">
        <f>K48/D48</f>
        <v>0</v>
      </c>
      <c r="N48" s="21"/>
    </row>
    <row r="49" spans="2:15" ht="41.25" customHeight="1" x14ac:dyDescent="0.3">
      <c r="B49" s="32"/>
      <c r="C49" s="35" t="s">
        <v>64</v>
      </c>
      <c r="D49" s="57">
        <f>SUM(D50:D53)</f>
        <v>4271800</v>
      </c>
      <c r="E49" s="57">
        <f>SUM(E50:E53)</f>
        <v>0</v>
      </c>
      <c r="F49" s="57">
        <f>SUM(F50:F53)</f>
        <v>0</v>
      </c>
      <c r="G49" s="57">
        <f>SUM(G50:G53)</f>
        <v>0</v>
      </c>
      <c r="H49" s="48">
        <f>G49/D49</f>
        <v>0</v>
      </c>
      <c r="I49" s="57">
        <f>SUM(I50:I53)</f>
        <v>0</v>
      </c>
      <c r="J49" s="57">
        <f>SUM(J50:J53)</f>
        <v>0</v>
      </c>
      <c r="K49" s="57">
        <f>SUM(K50:K53)</f>
        <v>0</v>
      </c>
      <c r="L49" s="47">
        <f>K49/D49</f>
        <v>0</v>
      </c>
      <c r="M49" s="29">
        <f>K49/D49</f>
        <v>0</v>
      </c>
      <c r="N49" s="37"/>
    </row>
    <row r="50" spans="2:15" x14ac:dyDescent="0.3">
      <c r="B50" s="192">
        <v>20</v>
      </c>
      <c r="C50" s="17" t="s">
        <v>41</v>
      </c>
      <c r="D50" s="182">
        <v>940000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3331800</v>
      </c>
      <c r="E52" s="188"/>
      <c r="F52" s="188"/>
      <c r="G52" s="174">
        <f>E52+F52</f>
        <v>0</v>
      </c>
      <c r="H52" s="185">
        <f>G52/D52</f>
        <v>0</v>
      </c>
      <c r="I52" s="170">
        <f>E52</f>
        <v>0</v>
      </c>
      <c r="J52" s="170">
        <f>F52</f>
        <v>0</v>
      </c>
      <c r="K52" s="174">
        <f>I52+J52</f>
        <v>0</v>
      </c>
      <c r="L52" s="184">
        <f>K52/D52</f>
        <v>0</v>
      </c>
      <c r="M52" s="185">
        <f>L52</f>
        <v>0</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15000000</v>
      </c>
      <c r="E54" s="53">
        <f t="shared" ref="E54:M54" si="16">E55</f>
        <v>0</v>
      </c>
      <c r="F54" s="53">
        <f t="shared" si="16"/>
        <v>4000000</v>
      </c>
      <c r="G54" s="53">
        <f t="shared" si="16"/>
        <v>4000000</v>
      </c>
      <c r="H54" s="80">
        <f>H55</f>
        <v>0.26666666666666666</v>
      </c>
      <c r="I54" s="53">
        <f t="shared" si="16"/>
        <v>0</v>
      </c>
      <c r="J54" s="53">
        <f t="shared" si="16"/>
        <v>4000000</v>
      </c>
      <c r="K54" s="53">
        <f t="shared" si="16"/>
        <v>4000000</v>
      </c>
      <c r="L54" s="80">
        <f>L55</f>
        <v>0.26666666666666666</v>
      </c>
      <c r="M54" s="80">
        <f t="shared" si="16"/>
        <v>0.26666666666666666</v>
      </c>
      <c r="N54" s="24"/>
    </row>
    <row r="55" spans="2:15" ht="17.25" customHeight="1" x14ac:dyDescent="0.3">
      <c r="B55" s="27"/>
      <c r="C55" s="35" t="s">
        <v>65</v>
      </c>
      <c r="D55" s="57">
        <f>SUM(D56:D59)</f>
        <v>15000000</v>
      </c>
      <c r="E55" s="57">
        <f>SUM(E56:E59)</f>
        <v>0</v>
      </c>
      <c r="F55" s="57">
        <f>SUM(F56:F59)</f>
        <v>4000000</v>
      </c>
      <c r="G55" s="57">
        <f>SUM(G56:G59)</f>
        <v>4000000</v>
      </c>
      <c r="H55" s="48">
        <f>G55/D55</f>
        <v>0.26666666666666666</v>
      </c>
      <c r="I55" s="57">
        <f>SUM(I56:I59)</f>
        <v>0</v>
      </c>
      <c r="J55" s="57">
        <f>SUM(J56:J59)</f>
        <v>4000000</v>
      </c>
      <c r="K55" s="57">
        <f>SUM(K56:K59)</f>
        <v>4000000</v>
      </c>
      <c r="L55" s="47">
        <f>K55/D55</f>
        <v>0.26666666666666666</v>
      </c>
      <c r="M55" s="47">
        <f>SUM(L55)</f>
        <v>0.26666666666666666</v>
      </c>
      <c r="N55" s="37"/>
    </row>
    <row r="56" spans="2:15" x14ac:dyDescent="0.3">
      <c r="B56" s="192">
        <v>22</v>
      </c>
      <c r="C56" s="15" t="s">
        <v>55</v>
      </c>
      <c r="D56" s="182">
        <v>9000000</v>
      </c>
      <c r="E56" s="172"/>
      <c r="F56" s="172">
        <v>4000000</v>
      </c>
      <c r="G56" s="170">
        <f>E56+F56</f>
        <v>4000000</v>
      </c>
      <c r="H56" s="177">
        <f>G56/D56</f>
        <v>0.44444444444444442</v>
      </c>
      <c r="I56" s="170">
        <f>E56</f>
        <v>0</v>
      </c>
      <c r="J56" s="172">
        <f>F56</f>
        <v>4000000</v>
      </c>
      <c r="K56" s="170">
        <f>I56+J56</f>
        <v>4000000</v>
      </c>
      <c r="L56" s="175">
        <f>K56/D56</f>
        <v>0.44444444444444442</v>
      </c>
      <c r="M56" s="177">
        <f>L56</f>
        <v>0.44444444444444442</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6000000</v>
      </c>
      <c r="E58" s="188"/>
      <c r="F58" s="188"/>
      <c r="G58" s="174">
        <f>E58+F58</f>
        <v>0</v>
      </c>
      <c r="H58" s="185">
        <f>G58/D58</f>
        <v>0</v>
      </c>
      <c r="I58" s="189">
        <f>E58</f>
        <v>0</v>
      </c>
      <c r="J58" s="188">
        <f>F58</f>
        <v>0</v>
      </c>
      <c r="K58" s="174">
        <f>I58+J58</f>
        <v>0</v>
      </c>
      <c r="L58" s="184">
        <f>K58/D58</f>
        <v>0</v>
      </c>
      <c r="M58" s="185">
        <f>L58</f>
        <v>0</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0</v>
      </c>
      <c r="F60" s="58">
        <f t="shared" si="17"/>
        <v>1800000</v>
      </c>
      <c r="G60" s="58">
        <f t="shared" si="17"/>
        <v>1800000</v>
      </c>
      <c r="H60" s="46">
        <f>G60/D60</f>
        <v>8.3333333333333329E-2</v>
      </c>
      <c r="I60" s="58">
        <f t="shared" ref="I60:K61" si="18">SUM(I61)</f>
        <v>0</v>
      </c>
      <c r="J60" s="58">
        <f t="shared" si="18"/>
        <v>1800000</v>
      </c>
      <c r="K60" s="58">
        <f t="shared" si="18"/>
        <v>1800000</v>
      </c>
      <c r="L60" s="44">
        <f>K60/D60</f>
        <v>8.3333333333333329E-2</v>
      </c>
      <c r="M60" s="23">
        <f>SUM(L60)</f>
        <v>8.3333333333333329E-2</v>
      </c>
      <c r="N60" s="21"/>
    </row>
    <row r="61" spans="2:15" ht="25.5" customHeight="1" x14ac:dyDescent="0.3">
      <c r="B61" s="25"/>
      <c r="C61" s="38" t="s">
        <v>82</v>
      </c>
      <c r="D61" s="59">
        <f t="shared" si="17"/>
        <v>21600000</v>
      </c>
      <c r="E61" s="60">
        <f t="shared" si="17"/>
        <v>0</v>
      </c>
      <c r="F61" s="59">
        <f t="shared" si="17"/>
        <v>1800000</v>
      </c>
      <c r="G61" s="57">
        <f t="shared" si="17"/>
        <v>1800000</v>
      </c>
      <c r="H61" s="47">
        <f>G61/D61</f>
        <v>8.3333333333333329E-2</v>
      </c>
      <c r="I61" s="59">
        <f t="shared" si="18"/>
        <v>0</v>
      </c>
      <c r="J61" s="59">
        <f t="shared" si="18"/>
        <v>1800000</v>
      </c>
      <c r="K61" s="59">
        <f t="shared" si="18"/>
        <v>1800000</v>
      </c>
      <c r="L61" s="47">
        <f>K61/D61</f>
        <v>8.3333333333333329E-2</v>
      </c>
      <c r="M61" s="30">
        <f>SUM(L61)</f>
        <v>8.3333333333333329E-2</v>
      </c>
      <c r="N61" s="31"/>
    </row>
    <row r="62" spans="2:15" x14ac:dyDescent="0.3">
      <c r="B62" s="180">
        <v>25</v>
      </c>
      <c r="C62" s="12" t="s">
        <v>44</v>
      </c>
      <c r="D62" s="187">
        <v>21600000</v>
      </c>
      <c r="E62" s="188"/>
      <c r="F62" s="188">
        <v>1800000</v>
      </c>
      <c r="G62" s="170">
        <f>E62+F62</f>
        <v>1800000</v>
      </c>
      <c r="H62" s="185">
        <f>G62/D62</f>
        <v>8.3333333333333329E-2</v>
      </c>
      <c r="I62" s="174">
        <f>E62</f>
        <v>0</v>
      </c>
      <c r="J62" s="188">
        <f>F62</f>
        <v>1800000</v>
      </c>
      <c r="K62" s="174">
        <f>I62+J62</f>
        <v>1800000</v>
      </c>
      <c r="L62" s="184">
        <f>K62/D62</f>
        <v>8.3333333333333329E-2</v>
      </c>
      <c r="M62" s="185">
        <f>L62</f>
        <v>8.3333333333333329E-2</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48250000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48250000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4000000</v>
      </c>
      <c r="E68" s="188"/>
      <c r="F68" s="188"/>
      <c r="G68" s="174">
        <f>E68+F68</f>
        <v>0</v>
      </c>
      <c r="H68" s="185">
        <f>G68/D68</f>
        <v>0</v>
      </c>
      <c r="I68" s="174">
        <f>E68</f>
        <v>0</v>
      </c>
      <c r="J68" s="174">
        <f>F68</f>
        <v>0</v>
      </c>
      <c r="K68" s="174">
        <f>I68+J68</f>
        <v>0</v>
      </c>
      <c r="L68" s="184">
        <f>K68/D68</f>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7000000</v>
      </c>
      <c r="E70" s="52">
        <f t="shared" si="19"/>
        <v>0</v>
      </c>
      <c r="F70" s="52">
        <f t="shared" si="19"/>
        <v>0</v>
      </c>
      <c r="G70" s="52">
        <f t="shared" si="19"/>
        <v>0</v>
      </c>
      <c r="H70" s="23">
        <f>G70/D70</f>
        <v>0</v>
      </c>
      <c r="I70" s="52">
        <f t="shared" ref="I70:K71" si="20">SUM(I71)</f>
        <v>0</v>
      </c>
      <c r="J70" s="52">
        <f t="shared" si="20"/>
        <v>0</v>
      </c>
      <c r="K70" s="52">
        <f t="shared" si="20"/>
        <v>0</v>
      </c>
      <c r="L70" s="44">
        <f>K70/D70</f>
        <v>0</v>
      </c>
      <c r="M70" s="68">
        <f>SUM(L70)</f>
        <v>0</v>
      </c>
      <c r="N70" s="43"/>
    </row>
    <row r="71" spans="2:26" ht="38.25" customHeight="1" x14ac:dyDescent="0.3">
      <c r="B71" s="25"/>
      <c r="C71" s="39" t="s">
        <v>67</v>
      </c>
      <c r="D71" s="60">
        <f t="shared" si="19"/>
        <v>7000000</v>
      </c>
      <c r="E71" s="60">
        <f t="shared" si="19"/>
        <v>0</v>
      </c>
      <c r="F71" s="60">
        <f t="shared" si="19"/>
        <v>0</v>
      </c>
      <c r="G71" s="60">
        <f t="shared" si="19"/>
        <v>0</v>
      </c>
      <c r="H71" s="29">
        <f>G71/D71</f>
        <v>0</v>
      </c>
      <c r="I71" s="60">
        <f t="shared" si="20"/>
        <v>0</v>
      </c>
      <c r="J71" s="60">
        <f t="shared" si="20"/>
        <v>0</v>
      </c>
      <c r="K71" s="60">
        <f t="shared" si="20"/>
        <v>0</v>
      </c>
      <c r="L71" s="47">
        <f>K71/D71</f>
        <v>0</v>
      </c>
      <c r="M71" s="29">
        <f>SUM(L71)</f>
        <v>0</v>
      </c>
      <c r="N71" s="40"/>
    </row>
    <row r="72" spans="2:26" x14ac:dyDescent="0.3">
      <c r="B72" s="180">
        <v>28</v>
      </c>
      <c r="C72" s="17" t="s">
        <v>47</v>
      </c>
      <c r="D72" s="182">
        <v>7000000</v>
      </c>
      <c r="E72" s="172"/>
      <c r="F72" s="172"/>
      <c r="G72" s="174">
        <f>E72+F72</f>
        <v>0</v>
      </c>
      <c r="H72" s="177">
        <f>G72/D72</f>
        <v>0</v>
      </c>
      <c r="I72" s="170">
        <f>E72</f>
        <v>0</v>
      </c>
      <c r="J72" s="172">
        <f>F72</f>
        <v>0</v>
      </c>
      <c r="K72" s="174">
        <f>I72+J72</f>
        <v>0</v>
      </c>
      <c r="L72" s="175">
        <f>K72/D72</f>
        <v>0</v>
      </c>
      <c r="M72" s="177">
        <f>L72</f>
        <v>0</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2801486092</v>
      </c>
      <c r="E74" s="165">
        <f>E9+E48+E54+E60+E64+E70</f>
        <v>167402542</v>
      </c>
      <c r="F74" s="165">
        <f>F9+F48+F54+F60+F64+F70</f>
        <v>87237343</v>
      </c>
      <c r="G74" s="159">
        <f>G9+G48+G54+G60+G64+G70</f>
        <v>254639885</v>
      </c>
      <c r="H74" s="157">
        <f>G74/D74</f>
        <v>9.089457403595777E-2</v>
      </c>
      <c r="I74" s="159">
        <f>I9+I48+I54+I60+I64+I70</f>
        <v>167402542</v>
      </c>
      <c r="J74" s="159">
        <f>J9+J48+J54+J60+J64+J70</f>
        <v>87237343</v>
      </c>
      <c r="K74" s="159">
        <f>K9+K48+K54+K60+K64+K70</f>
        <v>254639885</v>
      </c>
      <c r="L74" s="157">
        <f>K74/D74</f>
        <v>9.089457403595777E-2</v>
      </c>
      <c r="M74" s="157">
        <f>K74/D74</f>
        <v>9.089457403595777E-2</v>
      </c>
      <c r="N74" s="153"/>
    </row>
    <row r="75" spans="2:26" ht="15" thickBot="1" x14ac:dyDescent="0.35">
      <c r="B75" s="162"/>
      <c r="C75" s="164"/>
      <c r="D75" s="160"/>
      <c r="E75" s="166"/>
      <c r="F75" s="166"/>
      <c r="G75" s="160"/>
      <c r="H75" s="158"/>
      <c r="I75" s="160"/>
      <c r="J75" s="160"/>
      <c r="K75" s="160"/>
      <c r="L75" s="158"/>
      <c r="M75" s="158"/>
      <c r="N75" s="154"/>
    </row>
    <row r="76" spans="2:26" x14ac:dyDescent="0.3">
      <c r="B76" s="91"/>
      <c r="D76" s="2"/>
      <c r="E76" s="69"/>
      <c r="F76" s="7"/>
      <c r="G76" s="61"/>
      <c r="L76" s="91"/>
    </row>
    <row r="77" spans="2:26" x14ac:dyDescent="0.3">
      <c r="D77" s="4"/>
      <c r="E77" s="62"/>
      <c r="F77" s="63"/>
      <c r="G77" s="45"/>
      <c r="J77" s="155" t="s">
        <v>99</v>
      </c>
      <c r="K77" s="155"/>
      <c r="L77" s="155"/>
      <c r="M77" s="155"/>
      <c r="N77" s="90"/>
    </row>
    <row r="78" spans="2:26" x14ac:dyDescent="0.3">
      <c r="D78" s="4"/>
      <c r="E78" s="62"/>
      <c r="G78" s="61"/>
      <c r="J78" s="155" t="s">
        <v>56</v>
      </c>
      <c r="K78" s="155"/>
      <c r="L78" s="155"/>
      <c r="M78" s="155"/>
      <c r="N78" s="90"/>
    </row>
    <row r="79" spans="2:26" x14ac:dyDescent="0.3">
      <c r="D79" s="4"/>
      <c r="E79" s="62"/>
      <c r="K79" s="90"/>
      <c r="L79" s="90"/>
      <c r="M79" s="90"/>
      <c r="N79" s="90"/>
    </row>
    <row r="80" spans="2:26" x14ac:dyDescent="0.3">
      <c r="D80" s="4"/>
      <c r="E80" s="70"/>
      <c r="F80" s="62"/>
      <c r="G80" s="45"/>
      <c r="K80" s="90"/>
      <c r="L80" s="90"/>
      <c r="M80" s="90"/>
      <c r="N80" s="90"/>
    </row>
    <row r="81" spans="2:14" x14ac:dyDescent="0.3">
      <c r="D81" s="78"/>
      <c r="K81" s="90"/>
      <c r="L81" s="90"/>
      <c r="M81" s="90"/>
      <c r="N81" s="90"/>
    </row>
    <row r="82" spans="2:14" x14ac:dyDescent="0.3">
      <c r="D82" s="4"/>
      <c r="E82" s="63"/>
      <c r="J82" s="156" t="s">
        <v>59</v>
      </c>
      <c r="K82" s="156"/>
      <c r="L82" s="156"/>
      <c r="M82" s="156"/>
      <c r="N82" s="90"/>
    </row>
    <row r="83" spans="2:14" ht="13.8" customHeight="1" x14ac:dyDescent="0.3">
      <c r="D83" s="78"/>
      <c r="J83" s="155" t="s">
        <v>79</v>
      </c>
      <c r="K83" s="155"/>
      <c r="L83" s="155"/>
      <c r="M83" s="155"/>
      <c r="N83" s="90"/>
    </row>
    <row r="84" spans="2:14" x14ac:dyDescent="0.3">
      <c r="D84" s="4"/>
      <c r="J84" s="155" t="s">
        <v>60</v>
      </c>
      <c r="K84" s="155"/>
      <c r="L84" s="155"/>
      <c r="M84" s="155"/>
      <c r="N84" s="5"/>
    </row>
    <row r="85" spans="2:14" x14ac:dyDescent="0.3">
      <c r="B85" s="91"/>
      <c r="D85" s="2"/>
      <c r="E85" s="71"/>
      <c r="L85" s="91"/>
    </row>
    <row r="86" spans="2:14" x14ac:dyDescent="0.3">
      <c r="B86" s="91"/>
      <c r="D86" s="2"/>
      <c r="E86" s="71"/>
      <c r="L86" s="91"/>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J77:M77"/>
    <mergeCell ref="J78:M78"/>
    <mergeCell ref="J82:M82"/>
    <mergeCell ref="J83:M83"/>
    <mergeCell ref="J84:M84"/>
    <mergeCell ref="H74:H75"/>
    <mergeCell ref="I74:I75"/>
    <mergeCell ref="J74:J75"/>
    <mergeCell ref="K74:K75"/>
    <mergeCell ref="L74:L75"/>
    <mergeCell ref="M74:M75"/>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X72:X73"/>
    <mergeCell ref="Y72:Y73"/>
    <mergeCell ref="Z72:Z73"/>
    <mergeCell ref="O72:O73"/>
    <mergeCell ref="P72:P73"/>
    <mergeCell ref="Q72:Q73"/>
    <mergeCell ref="R72:R73"/>
    <mergeCell ref="S72:S73"/>
    <mergeCell ref="T72:T73"/>
    <mergeCell ref="I68:I69"/>
    <mergeCell ref="J68:J69"/>
    <mergeCell ref="K68:K69"/>
    <mergeCell ref="L68:L69"/>
    <mergeCell ref="M68:M69"/>
    <mergeCell ref="N68:N69"/>
    <mergeCell ref="B68:B69"/>
    <mergeCell ref="D68:D69"/>
    <mergeCell ref="E68:E69"/>
    <mergeCell ref="F68:F69"/>
    <mergeCell ref="G68:G69"/>
    <mergeCell ref="H68:H69"/>
    <mergeCell ref="I66:I67"/>
    <mergeCell ref="J66:J67"/>
    <mergeCell ref="K66:K67"/>
    <mergeCell ref="L66:L67"/>
    <mergeCell ref="M66:M67"/>
    <mergeCell ref="N66:N67"/>
    <mergeCell ref="B66:B67"/>
    <mergeCell ref="D66:D67"/>
    <mergeCell ref="E66:E67"/>
    <mergeCell ref="F66:F67"/>
    <mergeCell ref="G66:G67"/>
    <mergeCell ref="H66:H67"/>
    <mergeCell ref="I62:I63"/>
    <mergeCell ref="J62:J63"/>
    <mergeCell ref="K62:K63"/>
    <mergeCell ref="L62:L63"/>
    <mergeCell ref="M62:M63"/>
    <mergeCell ref="N62:N63"/>
    <mergeCell ref="B62:B63"/>
    <mergeCell ref="D62:D63"/>
    <mergeCell ref="E62:E63"/>
    <mergeCell ref="F62:F63"/>
    <mergeCell ref="G62:G63"/>
    <mergeCell ref="H62:H63"/>
    <mergeCell ref="I58:I59"/>
    <mergeCell ref="J58:J59"/>
    <mergeCell ref="K58:K59"/>
    <mergeCell ref="L58:L59"/>
    <mergeCell ref="M58:M59"/>
    <mergeCell ref="N58:N59"/>
    <mergeCell ref="B58:B59"/>
    <mergeCell ref="D58:D59"/>
    <mergeCell ref="E58:E59"/>
    <mergeCell ref="F58:F59"/>
    <mergeCell ref="G58:G59"/>
    <mergeCell ref="H58:H59"/>
    <mergeCell ref="I56:I57"/>
    <mergeCell ref="J56:J57"/>
    <mergeCell ref="K56:K57"/>
    <mergeCell ref="L56:L57"/>
    <mergeCell ref="M56:M57"/>
    <mergeCell ref="N56:N57"/>
    <mergeCell ref="B56:B57"/>
    <mergeCell ref="D56:D57"/>
    <mergeCell ref="E56:E57"/>
    <mergeCell ref="F56:F57"/>
    <mergeCell ref="G56:G57"/>
    <mergeCell ref="H56:H57"/>
    <mergeCell ref="I52:I53"/>
    <mergeCell ref="J52:J53"/>
    <mergeCell ref="K52:K53"/>
    <mergeCell ref="L52:L53"/>
    <mergeCell ref="M52:M53"/>
    <mergeCell ref="N52:N53"/>
    <mergeCell ref="B52:B53"/>
    <mergeCell ref="D52:D53"/>
    <mergeCell ref="E52:E53"/>
    <mergeCell ref="F52:F53"/>
    <mergeCell ref="G52:G53"/>
    <mergeCell ref="H52:H53"/>
    <mergeCell ref="I50:I51"/>
    <mergeCell ref="J50:J51"/>
    <mergeCell ref="K50:K51"/>
    <mergeCell ref="L50:L51"/>
    <mergeCell ref="M50:M51"/>
    <mergeCell ref="N50:N51"/>
    <mergeCell ref="B50:B51"/>
    <mergeCell ref="D50:D51"/>
    <mergeCell ref="E50:E51"/>
    <mergeCell ref="F50:F51"/>
    <mergeCell ref="G50:G51"/>
    <mergeCell ref="H50:H51"/>
    <mergeCell ref="I46:I47"/>
    <mergeCell ref="J46:J47"/>
    <mergeCell ref="K46:K47"/>
    <mergeCell ref="L46:L47"/>
    <mergeCell ref="M46:M47"/>
    <mergeCell ref="N46:N47"/>
    <mergeCell ref="B46:B47"/>
    <mergeCell ref="D46:D47"/>
    <mergeCell ref="E46:E47"/>
    <mergeCell ref="F46:F47"/>
    <mergeCell ref="G46:G47"/>
    <mergeCell ref="H46:H47"/>
    <mergeCell ref="I44:I45"/>
    <mergeCell ref="J44:J45"/>
    <mergeCell ref="K44:K45"/>
    <mergeCell ref="L44:L45"/>
    <mergeCell ref="M44:M45"/>
    <mergeCell ref="N44:N45"/>
    <mergeCell ref="B44:B45"/>
    <mergeCell ref="D44:D45"/>
    <mergeCell ref="E44:E45"/>
    <mergeCell ref="F44:F45"/>
    <mergeCell ref="G44:G45"/>
    <mergeCell ref="H44:H45"/>
    <mergeCell ref="I42:I43"/>
    <mergeCell ref="J42:J43"/>
    <mergeCell ref="K42:K43"/>
    <mergeCell ref="L42:L43"/>
    <mergeCell ref="M42:M43"/>
    <mergeCell ref="N42:N43"/>
    <mergeCell ref="B42:B43"/>
    <mergeCell ref="D42:D43"/>
    <mergeCell ref="E42:E43"/>
    <mergeCell ref="F42:F43"/>
    <mergeCell ref="G42:G43"/>
    <mergeCell ref="H42:H43"/>
    <mergeCell ref="I39:I40"/>
    <mergeCell ref="J39:J40"/>
    <mergeCell ref="K39:K40"/>
    <mergeCell ref="L39:L40"/>
    <mergeCell ref="M39:M40"/>
    <mergeCell ref="N39:N40"/>
    <mergeCell ref="B39:B40"/>
    <mergeCell ref="D39:D40"/>
    <mergeCell ref="E39:E40"/>
    <mergeCell ref="F39:F40"/>
    <mergeCell ref="G39:G40"/>
    <mergeCell ref="H39:H40"/>
    <mergeCell ref="I37:I38"/>
    <mergeCell ref="J37:J38"/>
    <mergeCell ref="K37:K38"/>
    <mergeCell ref="L37:L38"/>
    <mergeCell ref="M37:M38"/>
    <mergeCell ref="N37:N38"/>
    <mergeCell ref="B37:B38"/>
    <mergeCell ref="D37:D38"/>
    <mergeCell ref="E37:E38"/>
    <mergeCell ref="F37:F38"/>
    <mergeCell ref="G37:G38"/>
    <mergeCell ref="H37:H38"/>
    <mergeCell ref="I34:I35"/>
    <mergeCell ref="J34:J35"/>
    <mergeCell ref="K34:K35"/>
    <mergeCell ref="L34:L35"/>
    <mergeCell ref="M34:M35"/>
    <mergeCell ref="N34:N35"/>
    <mergeCell ref="B34:B35"/>
    <mergeCell ref="D34:D35"/>
    <mergeCell ref="E34:E35"/>
    <mergeCell ref="F34:F35"/>
    <mergeCell ref="G34:G35"/>
    <mergeCell ref="H34:H35"/>
    <mergeCell ref="I32:I33"/>
    <mergeCell ref="J32:J33"/>
    <mergeCell ref="K32:K33"/>
    <mergeCell ref="L32:L33"/>
    <mergeCell ref="M32:M33"/>
    <mergeCell ref="N32:N33"/>
    <mergeCell ref="B32:B33"/>
    <mergeCell ref="D32:D33"/>
    <mergeCell ref="E32:E33"/>
    <mergeCell ref="F32:F33"/>
    <mergeCell ref="G32:G33"/>
    <mergeCell ref="H32:H33"/>
    <mergeCell ref="I30:I31"/>
    <mergeCell ref="J30:J31"/>
    <mergeCell ref="K30:K31"/>
    <mergeCell ref="L30:L31"/>
    <mergeCell ref="M30:M31"/>
    <mergeCell ref="N30:N31"/>
    <mergeCell ref="B30:B31"/>
    <mergeCell ref="D30:D31"/>
    <mergeCell ref="E30:E31"/>
    <mergeCell ref="F30:F31"/>
    <mergeCell ref="G30:G31"/>
    <mergeCell ref="H30:H31"/>
    <mergeCell ref="I28:I29"/>
    <mergeCell ref="J28:J29"/>
    <mergeCell ref="K28:K29"/>
    <mergeCell ref="L28:L29"/>
    <mergeCell ref="M28:M29"/>
    <mergeCell ref="N28:N29"/>
    <mergeCell ref="B28:B29"/>
    <mergeCell ref="D28:D29"/>
    <mergeCell ref="E28:E29"/>
    <mergeCell ref="F28:F29"/>
    <mergeCell ref="G28:G29"/>
    <mergeCell ref="H28:H29"/>
    <mergeCell ref="I26:I27"/>
    <mergeCell ref="J26:J27"/>
    <mergeCell ref="K26:K27"/>
    <mergeCell ref="L26:L27"/>
    <mergeCell ref="M26:M27"/>
    <mergeCell ref="N26:N27"/>
    <mergeCell ref="B26:B27"/>
    <mergeCell ref="D26:D27"/>
    <mergeCell ref="E26:E27"/>
    <mergeCell ref="F26:F27"/>
    <mergeCell ref="G26:G27"/>
    <mergeCell ref="H26:H27"/>
    <mergeCell ref="I24:I25"/>
    <mergeCell ref="J24:J25"/>
    <mergeCell ref="K24:K25"/>
    <mergeCell ref="L24:L25"/>
    <mergeCell ref="M24:M25"/>
    <mergeCell ref="N24:N25"/>
    <mergeCell ref="B24:B25"/>
    <mergeCell ref="D24:D25"/>
    <mergeCell ref="E24:E25"/>
    <mergeCell ref="F24:F25"/>
    <mergeCell ref="G24:G25"/>
    <mergeCell ref="H24:H25"/>
    <mergeCell ref="I22:I23"/>
    <mergeCell ref="J22:J23"/>
    <mergeCell ref="K22:K23"/>
    <mergeCell ref="L22:L23"/>
    <mergeCell ref="M22:M23"/>
    <mergeCell ref="N22:N23"/>
    <mergeCell ref="B22:B23"/>
    <mergeCell ref="D22:D23"/>
    <mergeCell ref="E22:E23"/>
    <mergeCell ref="F22:F23"/>
    <mergeCell ref="G22:G23"/>
    <mergeCell ref="H22:H23"/>
    <mergeCell ref="I19:I20"/>
    <mergeCell ref="J19:J20"/>
    <mergeCell ref="K19:K20"/>
    <mergeCell ref="L19:L20"/>
    <mergeCell ref="M19:M20"/>
    <mergeCell ref="N19:N20"/>
    <mergeCell ref="B19:B20"/>
    <mergeCell ref="D19:D20"/>
    <mergeCell ref="E19:E20"/>
    <mergeCell ref="F19:F20"/>
    <mergeCell ref="G19:G20"/>
    <mergeCell ref="H19:H20"/>
    <mergeCell ref="I16:I17"/>
    <mergeCell ref="J16:J17"/>
    <mergeCell ref="K16:K17"/>
    <mergeCell ref="L16:L17"/>
    <mergeCell ref="M16:M17"/>
    <mergeCell ref="N16:N17"/>
    <mergeCell ref="B16:B17"/>
    <mergeCell ref="D16:D17"/>
    <mergeCell ref="E16:E17"/>
    <mergeCell ref="F16:F17"/>
    <mergeCell ref="G16:G17"/>
    <mergeCell ref="H16:H17"/>
    <mergeCell ref="I13:I14"/>
    <mergeCell ref="J13:J14"/>
    <mergeCell ref="K13:K14"/>
    <mergeCell ref="L13:L14"/>
    <mergeCell ref="M13:M14"/>
    <mergeCell ref="N13:N14"/>
    <mergeCell ref="B13:B14"/>
    <mergeCell ref="D13:D14"/>
    <mergeCell ref="E13:E14"/>
    <mergeCell ref="F13:F14"/>
    <mergeCell ref="G13:G14"/>
    <mergeCell ref="H13:H14"/>
    <mergeCell ref="I11:I12"/>
    <mergeCell ref="J11:J12"/>
    <mergeCell ref="K11:K12"/>
    <mergeCell ref="L11:L12"/>
    <mergeCell ref="M11:M12"/>
    <mergeCell ref="N11:N12"/>
    <mergeCell ref="B11:B12"/>
    <mergeCell ref="D11:D12"/>
    <mergeCell ref="E11:E12"/>
    <mergeCell ref="F11:F12"/>
    <mergeCell ref="G11:G12"/>
    <mergeCell ref="H11:H12"/>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s>
  <pageMargins left="1.1023622047244095" right="0.70866141732283472" top="0.74803149606299213" bottom="0.74803149606299213" header="0.31496062992125984" footer="0.31496062992125984"/>
  <pageSetup paperSize="5" scale="70" orientation="landscape" horizontalDpi="300" verticalDpi="300" r:id="rId1"/>
  <rowBreaks count="1" manualBreakCount="1">
    <brk id="57" max="16383" man="1"/>
  </rowBreaks>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0E8EF-7BB1-4E56-ADF5-02BD89DC544B}">
  <dimension ref="A1:Z95"/>
  <sheetViews>
    <sheetView view="pageBreakPreview" zoomScale="78" zoomScaleNormal="75" zoomScaleSheetLayoutView="78" workbookViewId="0">
      <pane xSplit="3" ySplit="2" topLeftCell="D6" activePane="bottomRight" state="frozen"/>
      <selection pane="topRight" activeCell="C1" sqref="C1"/>
      <selection pane="bottomLeft" activeCell="A3" sqref="A3"/>
      <selection pane="bottomRight" activeCell="F16" sqref="F16:F17"/>
    </sheetView>
  </sheetViews>
  <sheetFormatPr defaultRowHeight="14.4" x14ac:dyDescent="0.3"/>
  <cols>
    <col min="1" max="1" width="8.3320312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0.5546875" bestFit="1"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88"/>
      <c r="H3" s="88"/>
      <c r="I3" s="88"/>
      <c r="J3" s="88"/>
      <c r="K3" s="88"/>
      <c r="L3" s="88"/>
      <c r="M3" s="88"/>
      <c r="N3" s="88"/>
    </row>
    <row r="4" spans="1:19" x14ac:dyDescent="0.3">
      <c r="B4" s="213" t="s">
        <v>97</v>
      </c>
      <c r="C4" s="213"/>
      <c r="D4" s="1"/>
      <c r="E4" s="6"/>
      <c r="F4" s="6"/>
      <c r="G4" s="3"/>
      <c r="H4" s="88"/>
      <c r="I4" s="88"/>
      <c r="J4" s="88"/>
      <c r="K4" s="88"/>
      <c r="L4" s="88"/>
      <c r="M4" s="88"/>
      <c r="N4" s="88"/>
    </row>
    <row r="5" spans="1:19" x14ac:dyDescent="0.3">
      <c r="B5" s="213"/>
      <c r="C5" s="213"/>
      <c r="D5" s="1"/>
      <c r="E5" s="6"/>
      <c r="F5" s="6"/>
      <c r="G5" s="3"/>
      <c r="H5" s="88"/>
      <c r="I5" s="88"/>
      <c r="J5" s="88"/>
      <c r="K5" s="88"/>
      <c r="L5" s="88"/>
      <c r="M5" s="88"/>
      <c r="N5" s="88"/>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2705364292</v>
      </c>
      <c r="E9" s="51">
        <f>I9</f>
        <v>0</v>
      </c>
      <c r="F9" s="51">
        <f>F10+F15+F18+F21+F36+F41</f>
        <v>167402542</v>
      </c>
      <c r="G9" s="51">
        <f>G10+G15+G18+G21+G36+G41</f>
        <v>167402542</v>
      </c>
      <c r="H9" s="50">
        <f>G9/D9</f>
        <v>6.1878003821897121E-2</v>
      </c>
      <c r="I9" s="51">
        <f>I10+I15+I18+I21+I36+I41</f>
        <v>0</v>
      </c>
      <c r="J9" s="51">
        <f t="shared" ref="J9:K9" si="0">J10+J15+J18+J21+J36+J41</f>
        <v>167402542</v>
      </c>
      <c r="K9" s="51">
        <f t="shared" si="0"/>
        <v>167402542</v>
      </c>
      <c r="L9" s="50">
        <f>K9/D9</f>
        <v>6.1878003821897121E-2</v>
      </c>
      <c r="M9" s="72">
        <f>K9/D9</f>
        <v>6.1878003821897121E-2</v>
      </c>
      <c r="N9" s="41"/>
      <c r="O9"/>
      <c r="P9"/>
      <c r="Q9"/>
      <c r="R9"/>
      <c r="S9"/>
    </row>
    <row r="10" spans="1:19" ht="30" customHeight="1" x14ac:dyDescent="0.3">
      <c r="B10" s="25"/>
      <c r="C10" s="26" t="s">
        <v>61</v>
      </c>
      <c r="D10" s="54">
        <f>SUM(D11:D14)</f>
        <v>10883200</v>
      </c>
      <c r="E10" s="54">
        <f>SUM(E11:E14)</f>
        <v>0</v>
      </c>
      <c r="F10" s="54">
        <f>SUM(F11:F14)</f>
        <v>0</v>
      </c>
      <c r="G10" s="54">
        <f>SUM(G11:G14)</f>
        <v>0</v>
      </c>
      <c r="H10" s="29">
        <f>G10/D10</f>
        <v>0</v>
      </c>
      <c r="I10" s="54">
        <f>SUM(I11:I14)</f>
        <v>0</v>
      </c>
      <c r="J10" s="54">
        <f>SUM(J11:J14)</f>
        <v>0</v>
      </c>
      <c r="K10" s="54">
        <f>SUM(K11:K14)</f>
        <v>0</v>
      </c>
      <c r="L10" s="47">
        <f>K10/D10</f>
        <v>0</v>
      </c>
      <c r="M10" s="67">
        <f>K10/D10</f>
        <v>0</v>
      </c>
      <c r="N10" s="28"/>
    </row>
    <row r="11" spans="1:19" x14ac:dyDescent="0.3">
      <c r="B11" s="180">
        <v>1</v>
      </c>
      <c r="C11" s="12" t="s">
        <v>30</v>
      </c>
      <c r="D11" s="195">
        <v>8455200</v>
      </c>
      <c r="E11" s="188"/>
      <c r="F11" s="188"/>
      <c r="G11" s="174">
        <f>E11+F11</f>
        <v>0</v>
      </c>
      <c r="H11" s="177">
        <f>G11/D11</f>
        <v>0</v>
      </c>
      <c r="I11" s="174">
        <f>E11</f>
        <v>0</v>
      </c>
      <c r="J11" s="174">
        <f>F11</f>
        <v>0</v>
      </c>
      <c r="K11" s="174">
        <f>I11+J11</f>
        <v>0</v>
      </c>
      <c r="L11" s="175">
        <f>K11/D11</f>
        <v>0</v>
      </c>
      <c r="M11" s="185">
        <f>L11</f>
        <v>0</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2428000</v>
      </c>
      <c r="E13" s="188"/>
      <c r="F13" s="206"/>
      <c r="G13" s="174">
        <f>E13+F13</f>
        <v>0</v>
      </c>
      <c r="H13" s="177">
        <f>G13/D13</f>
        <v>0</v>
      </c>
      <c r="I13" s="174">
        <f>E13</f>
        <v>0</v>
      </c>
      <c r="J13" s="174">
        <f>F13</f>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0</v>
      </c>
      <c r="F15" s="55">
        <f>SUM(F16)</f>
        <v>167402542</v>
      </c>
      <c r="G15" s="55">
        <f>SUM(G16)</f>
        <v>167402542</v>
      </c>
      <c r="H15" s="66">
        <f>G15/D15</f>
        <v>8.1217856677667066E-2</v>
      </c>
      <c r="I15" s="56">
        <f>SUM(I16)</f>
        <v>0</v>
      </c>
      <c r="J15" s="56">
        <f>SUM(J16)</f>
        <v>167402542</v>
      </c>
      <c r="K15" s="56">
        <f>SUM(K16)</f>
        <v>167402542</v>
      </c>
      <c r="L15" s="29">
        <f>K15/D15</f>
        <v>8.1217856677667066E-2</v>
      </c>
      <c r="M15" s="30">
        <f>K15/D15</f>
        <v>8.1217856677667066E-2</v>
      </c>
      <c r="N15" s="31"/>
    </row>
    <row r="16" spans="1:19" x14ac:dyDescent="0.3">
      <c r="B16" s="180">
        <v>3</v>
      </c>
      <c r="C16" s="12" t="s">
        <v>33</v>
      </c>
      <c r="D16" s="187">
        <v>2061154392</v>
      </c>
      <c r="E16" s="203"/>
      <c r="F16" s="203">
        <v>167402542</v>
      </c>
      <c r="G16" s="174">
        <f>E16+F16</f>
        <v>167402542</v>
      </c>
      <c r="H16" s="177">
        <f>G16/D16</f>
        <v>8.1217856677667066E-2</v>
      </c>
      <c r="I16" s="170">
        <f>E16</f>
        <v>0</v>
      </c>
      <c r="J16" s="170">
        <f>F16</f>
        <v>167402542</v>
      </c>
      <c r="K16" s="170">
        <f>I16+J16</f>
        <v>167402542</v>
      </c>
      <c r="L16" s="175">
        <f>K16/D16</f>
        <v>8.1217856677667066E-2</v>
      </c>
      <c r="M16" s="185">
        <f>L16</f>
        <v>8.1217856677667066E-2</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0</v>
      </c>
      <c r="F18" s="57">
        <f>SUM(F19)</f>
        <v>0</v>
      </c>
      <c r="G18" s="57">
        <f>SUM(G19)</f>
        <v>0</v>
      </c>
      <c r="H18" s="48">
        <f>G18/D18</f>
        <v>0</v>
      </c>
      <c r="I18" s="57">
        <f>SUM(I19)</f>
        <v>0</v>
      </c>
      <c r="J18" s="57">
        <f>SUM(J19)</f>
        <v>0</v>
      </c>
      <c r="K18" s="57">
        <f>SUM(K19)</f>
        <v>0</v>
      </c>
      <c r="L18" s="47">
        <f>K18/D18</f>
        <v>0</v>
      </c>
      <c r="M18" s="47">
        <f>K18/D18</f>
        <v>0</v>
      </c>
      <c r="N18" s="34"/>
    </row>
    <row r="19" spans="2:14" x14ac:dyDescent="0.3">
      <c r="B19" s="192">
        <v>4</v>
      </c>
      <c r="C19" s="15" t="s">
        <v>49</v>
      </c>
      <c r="D19" s="182">
        <v>50000000</v>
      </c>
      <c r="E19" s="172"/>
      <c r="F19" s="172"/>
      <c r="G19" s="170">
        <f>E19+F19</f>
        <v>0</v>
      </c>
      <c r="H19" s="202">
        <f>G19/D19</f>
        <v>0</v>
      </c>
      <c r="I19" s="170">
        <f>SUM(E19)</f>
        <v>0</v>
      </c>
      <c r="J19" s="170">
        <f>F19</f>
        <v>0</v>
      </c>
      <c r="K19" s="170">
        <f>I19+J19</f>
        <v>0</v>
      </c>
      <c r="L19" s="201">
        <f>K19/D19</f>
        <v>0</v>
      </c>
      <c r="M19" s="202">
        <f>L19</f>
        <v>0</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79272400</v>
      </c>
      <c r="E21" s="57">
        <f>SUM(E22:E35)</f>
        <v>0</v>
      </c>
      <c r="F21" s="57">
        <f>SUM(F22:F35)</f>
        <v>0</v>
      </c>
      <c r="G21" s="57">
        <f>SUM(G22:G35)</f>
        <v>0</v>
      </c>
      <c r="H21" s="66">
        <f>G21/D21</f>
        <v>0</v>
      </c>
      <c r="I21" s="57">
        <f>SUM(I22:I35)</f>
        <v>0</v>
      </c>
      <c r="J21" s="57">
        <f>SUM(J22:J35)</f>
        <v>0</v>
      </c>
      <c r="K21" s="57">
        <f>SUM(K22:K35)</f>
        <v>0</v>
      </c>
      <c r="L21" s="29">
        <f>K21/D21</f>
        <v>0</v>
      </c>
      <c r="M21" s="30">
        <f>K21/D21</f>
        <v>0</v>
      </c>
      <c r="N21" s="36"/>
    </row>
    <row r="22" spans="2:14" x14ac:dyDescent="0.3">
      <c r="B22" s="180">
        <v>5</v>
      </c>
      <c r="C22" s="17" t="s">
        <v>34</v>
      </c>
      <c r="D22" s="182">
        <v>6234000</v>
      </c>
      <c r="E22" s="172"/>
      <c r="F22" s="172"/>
      <c r="G22" s="174">
        <f>E22+F22</f>
        <v>0</v>
      </c>
      <c r="H22" s="199">
        <f>G22/D22</f>
        <v>0</v>
      </c>
      <c r="I22" s="189">
        <f>E22</f>
        <v>0</v>
      </c>
      <c r="J22" s="189">
        <f>F22</f>
        <v>0</v>
      </c>
      <c r="K22" s="189">
        <f>I22+J22</f>
        <v>0</v>
      </c>
      <c r="L22" s="197">
        <f>K22/D22</f>
        <v>0</v>
      </c>
      <c r="M22" s="198">
        <f>L22</f>
        <v>0</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9195100</v>
      </c>
      <c r="E24" s="188"/>
      <c r="F24" s="188"/>
      <c r="G24" s="174">
        <f>E24+F24</f>
        <v>0</v>
      </c>
      <c r="H24" s="199">
        <f>G24/D24</f>
        <v>0</v>
      </c>
      <c r="I24" s="189">
        <f>E24</f>
        <v>0</v>
      </c>
      <c r="J24" s="189">
        <f t="shared" ref="J24" si="1">F24</f>
        <v>0</v>
      </c>
      <c r="K24" s="189">
        <f t="shared" ref="K24" si="2">I24+J24</f>
        <v>0</v>
      </c>
      <c r="L24" s="197">
        <f>K24/D24</f>
        <v>0</v>
      </c>
      <c r="M24" s="198">
        <f>L24</f>
        <v>0</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6748500</v>
      </c>
      <c r="E26" s="172"/>
      <c r="F26" s="172"/>
      <c r="G26" s="170">
        <f>E26+F26</f>
        <v>0</v>
      </c>
      <c r="H26" s="177">
        <f>G26/D26</f>
        <v>0</v>
      </c>
      <c r="I26" s="189">
        <f t="shared" ref="I26:J26" si="3">E26</f>
        <v>0</v>
      </c>
      <c r="J26" s="189">
        <f t="shared" si="3"/>
        <v>0</v>
      </c>
      <c r="K26" s="189">
        <f t="shared" ref="K26" si="4">I26+J26</f>
        <v>0</v>
      </c>
      <c r="L26" s="175">
        <f>K26/D26</f>
        <v>0</v>
      </c>
      <c r="M26" s="196">
        <f>L26</f>
        <v>0</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4114800</v>
      </c>
      <c r="E28" s="188"/>
      <c r="F28" s="188"/>
      <c r="G28" s="174">
        <f>E28+F28</f>
        <v>0</v>
      </c>
      <c r="H28" s="177">
        <f>G28/D28</f>
        <v>0</v>
      </c>
      <c r="I28" s="189">
        <f t="shared" ref="I28:J28" si="5">E28</f>
        <v>0</v>
      </c>
      <c r="J28" s="189">
        <f t="shared" si="5"/>
        <v>0</v>
      </c>
      <c r="K28" s="189">
        <f t="shared" ref="K28" si="6">I28+J28</f>
        <v>0</v>
      </c>
      <c r="L28" s="175">
        <f>K28/D28</f>
        <v>0</v>
      </c>
      <c r="M28" s="185">
        <f>L28</f>
        <v>0</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c r="F30" s="188"/>
      <c r="G30" s="174">
        <f>E30+F30</f>
        <v>0</v>
      </c>
      <c r="H30" s="185">
        <f>G30/D30</f>
        <v>0</v>
      </c>
      <c r="I30" s="189">
        <f t="shared" ref="I30:J30" si="7">E30</f>
        <v>0</v>
      </c>
      <c r="J30" s="189">
        <f t="shared" si="7"/>
        <v>0</v>
      </c>
      <c r="K30" s="189">
        <f t="shared" ref="K30" si="8">I30+J30</f>
        <v>0</v>
      </c>
      <c r="L30" s="184">
        <f>K30/D30</f>
        <v>0</v>
      </c>
      <c r="M30" s="185">
        <f>L30</f>
        <v>0</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11550000</v>
      </c>
      <c r="E32" s="188"/>
      <c r="F32" s="188"/>
      <c r="G32" s="174">
        <f>E32+F32</f>
        <v>0</v>
      </c>
      <c r="H32" s="185">
        <f>G32/D32</f>
        <v>0</v>
      </c>
      <c r="I32" s="189">
        <f t="shared" ref="I32:J32" si="9">E32</f>
        <v>0</v>
      </c>
      <c r="J32" s="189">
        <f t="shared" si="9"/>
        <v>0</v>
      </c>
      <c r="K32" s="189">
        <f t="shared" ref="K32" si="10">I32+J32</f>
        <v>0</v>
      </c>
      <c r="L32" s="184">
        <f>K32/D32</f>
        <v>0</v>
      </c>
      <c r="M32" s="185">
        <f>L32</f>
        <v>0</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40050000</v>
      </c>
      <c r="E34" s="188"/>
      <c r="F34" s="188"/>
      <c r="G34" s="174">
        <f>E34+F34</f>
        <v>0</v>
      </c>
      <c r="H34" s="185">
        <f>G34/D34</f>
        <v>0</v>
      </c>
      <c r="I34" s="189">
        <f t="shared" ref="I34:J34" si="11">E34</f>
        <v>0</v>
      </c>
      <c r="J34" s="189">
        <f t="shared" si="11"/>
        <v>0</v>
      </c>
      <c r="K34" s="189">
        <f t="shared" ref="K34" si="12">I34+J34</f>
        <v>0</v>
      </c>
      <c r="L34" s="184">
        <f>K34/D34</f>
        <v>0</v>
      </c>
      <c r="M34" s="185">
        <f>L34</f>
        <v>0</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0</v>
      </c>
      <c r="F36" s="57">
        <f>SUM(F37:F40)</f>
        <v>0</v>
      </c>
      <c r="G36" s="57">
        <f>SUM(G37:G40)</f>
        <v>0</v>
      </c>
      <c r="H36" s="29">
        <f>G36/D36</f>
        <v>0</v>
      </c>
      <c r="I36" s="57">
        <f>SUM(I37:I40)</f>
        <v>0</v>
      </c>
      <c r="J36" s="57">
        <f>SUM(J37:J40)</f>
        <v>0</v>
      </c>
      <c r="K36" s="57">
        <f>SUM(K37:K40)</f>
        <v>0</v>
      </c>
      <c r="L36" s="29">
        <f t="shared" ref="L36:L37" si="13">K36/D36</f>
        <v>0</v>
      </c>
      <c r="M36" s="29">
        <f>K36/D36</f>
        <v>0</v>
      </c>
      <c r="N36" s="34"/>
    </row>
    <row r="37" spans="2:14" x14ac:dyDescent="0.3">
      <c r="B37" s="180">
        <v>15</v>
      </c>
      <c r="C37" s="12" t="s">
        <v>39</v>
      </c>
      <c r="D37" s="195">
        <v>46200000</v>
      </c>
      <c r="E37" s="188"/>
      <c r="F37" s="188"/>
      <c r="G37" s="174">
        <f>E37+F37</f>
        <v>0</v>
      </c>
      <c r="H37" s="185">
        <f>G37/D37</f>
        <v>0</v>
      </c>
      <c r="I37" s="174">
        <f>E37</f>
        <v>0</v>
      </c>
      <c r="J37" s="188">
        <f>F37</f>
        <v>0</v>
      </c>
      <c r="K37" s="174">
        <f>I37+J37</f>
        <v>0</v>
      </c>
      <c r="L37" s="184">
        <f t="shared" si="13"/>
        <v>0</v>
      </c>
      <c r="M37" s="185">
        <f>L37</f>
        <v>0</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c r="F39" s="172"/>
      <c r="G39" s="170">
        <f>E39+F39</f>
        <v>0</v>
      </c>
      <c r="H39" s="177">
        <f>G39/D39</f>
        <v>0</v>
      </c>
      <c r="I39" s="174">
        <f>E39</f>
        <v>0</v>
      </c>
      <c r="J39" s="188">
        <f>F39</f>
        <v>0</v>
      </c>
      <c r="K39" s="170">
        <f>I39+J39</f>
        <v>0</v>
      </c>
      <c r="L39" s="175">
        <f>K39/D39</f>
        <v>0</v>
      </c>
      <c r="M39" s="177">
        <f>L39</f>
        <v>0</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0</v>
      </c>
      <c r="F41" s="57">
        <f>SUM(F42:F47)</f>
        <v>0</v>
      </c>
      <c r="G41" s="54">
        <f>SUM(G42:G47)</f>
        <v>0</v>
      </c>
      <c r="H41" s="29">
        <v>0.1027</v>
      </c>
      <c r="I41" s="54">
        <f>SUM(I42:I47)</f>
        <v>0</v>
      </c>
      <c r="J41" s="54">
        <f>SUM(J42:J47)</f>
        <v>0</v>
      </c>
      <c r="K41" s="54">
        <f>SUM(K42:K47)</f>
        <v>0</v>
      </c>
      <c r="L41" s="29">
        <f>K41/D41</f>
        <v>0</v>
      </c>
      <c r="M41" s="30">
        <f>K41/D41</f>
        <v>0</v>
      </c>
      <c r="N41" s="31"/>
    </row>
    <row r="42" spans="2:14" x14ac:dyDescent="0.3">
      <c r="B42" s="180">
        <v>17</v>
      </c>
      <c r="C42" s="12" t="s">
        <v>32</v>
      </c>
      <c r="D42" s="187">
        <v>21430000</v>
      </c>
      <c r="E42" s="188"/>
      <c r="F42" s="172"/>
      <c r="G42" s="174">
        <f>E42+F42</f>
        <v>0</v>
      </c>
      <c r="H42" s="185">
        <f>G42/D42</f>
        <v>0</v>
      </c>
      <c r="I42" s="174">
        <f>E42</f>
        <v>0</v>
      </c>
      <c r="J42" s="188">
        <f>F42</f>
        <v>0</v>
      </c>
      <c r="K42" s="174">
        <f>I42+J42</f>
        <v>0</v>
      </c>
      <c r="L42" s="184">
        <f>K42/D42</f>
        <v>0</v>
      </c>
      <c r="M42" s="185">
        <f>L42</f>
        <v>0</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c r="F44" s="172"/>
      <c r="G44" s="170">
        <f>E44+F44</f>
        <v>0</v>
      </c>
      <c r="H44" s="177">
        <f>G44/D44</f>
        <v>0</v>
      </c>
      <c r="I44" s="174">
        <f t="shared" ref="I44:J44" si="14">E44</f>
        <v>0</v>
      </c>
      <c r="J44" s="188">
        <f t="shared" si="14"/>
        <v>0</v>
      </c>
      <c r="K44" s="170">
        <f>I44+J44</f>
        <v>0</v>
      </c>
      <c r="L44" s="175">
        <f>K44/D44</f>
        <v>0</v>
      </c>
      <c r="M44" s="177">
        <f>L44</f>
        <v>0</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4271800</v>
      </c>
      <c r="E48" s="52">
        <f>SUM(E49)</f>
        <v>0</v>
      </c>
      <c r="F48" s="52">
        <f>SUM(F49)</f>
        <v>0</v>
      </c>
      <c r="G48" s="58">
        <f>SUM(G49)</f>
        <v>0</v>
      </c>
      <c r="H48" s="44">
        <f>G48/D48</f>
        <v>0</v>
      </c>
      <c r="I48" s="58">
        <f>SUM(I49)</f>
        <v>0</v>
      </c>
      <c r="J48" s="58">
        <f>SUM(J49)</f>
        <v>0</v>
      </c>
      <c r="K48" s="58">
        <f>SUM(K49)</f>
        <v>0</v>
      </c>
      <c r="L48" s="44">
        <f>K48/D48</f>
        <v>0</v>
      </c>
      <c r="M48" s="20">
        <f>K48/D48</f>
        <v>0</v>
      </c>
      <c r="N48" s="21"/>
    </row>
    <row r="49" spans="2:15" ht="41.25" customHeight="1" x14ac:dyDescent="0.3">
      <c r="B49" s="32"/>
      <c r="C49" s="35" t="s">
        <v>64</v>
      </c>
      <c r="D49" s="57">
        <f>SUM(D50:D53)</f>
        <v>4271800</v>
      </c>
      <c r="E49" s="57">
        <f>SUM(E50:E53)</f>
        <v>0</v>
      </c>
      <c r="F49" s="57">
        <f>SUM(F50:F53)</f>
        <v>0</v>
      </c>
      <c r="G49" s="57">
        <f>SUM(G50:G53)</f>
        <v>0</v>
      </c>
      <c r="H49" s="48">
        <f>G49/D49</f>
        <v>0</v>
      </c>
      <c r="I49" s="57">
        <f>SUM(I50:I53)</f>
        <v>0</v>
      </c>
      <c r="J49" s="57">
        <f>SUM(J50:J53)</f>
        <v>0</v>
      </c>
      <c r="K49" s="57">
        <f>SUM(K50:K53)</f>
        <v>0</v>
      </c>
      <c r="L49" s="47">
        <f>K49/D49</f>
        <v>0</v>
      </c>
      <c r="M49" s="29">
        <f>K49/D49</f>
        <v>0</v>
      </c>
      <c r="N49" s="37"/>
    </row>
    <row r="50" spans="2:15" x14ac:dyDescent="0.3">
      <c r="B50" s="192">
        <v>20</v>
      </c>
      <c r="C50" s="17" t="s">
        <v>41</v>
      </c>
      <c r="D50" s="182">
        <v>940000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3331800</v>
      </c>
      <c r="E52" s="188"/>
      <c r="F52" s="188"/>
      <c r="G52" s="174">
        <f>E52+F52</f>
        <v>0</v>
      </c>
      <c r="H52" s="185">
        <f>G52/D52</f>
        <v>0</v>
      </c>
      <c r="I52" s="170">
        <f>E52</f>
        <v>0</v>
      </c>
      <c r="J52" s="170">
        <f>F52</f>
        <v>0</v>
      </c>
      <c r="K52" s="174">
        <f>I52+J52</f>
        <v>0</v>
      </c>
      <c r="L52" s="184">
        <f>K52/D52</f>
        <v>0</v>
      </c>
      <c r="M52" s="185">
        <f>L52</f>
        <v>0</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15000000</v>
      </c>
      <c r="E54" s="53">
        <f t="shared" ref="E54:M54" si="16">E55</f>
        <v>0</v>
      </c>
      <c r="F54" s="53">
        <f t="shared" si="16"/>
        <v>0</v>
      </c>
      <c r="G54" s="53">
        <f t="shared" si="16"/>
        <v>0</v>
      </c>
      <c r="H54" s="80">
        <f>H55</f>
        <v>0</v>
      </c>
      <c r="I54" s="53">
        <f t="shared" si="16"/>
        <v>0</v>
      </c>
      <c r="J54" s="53">
        <f t="shared" si="16"/>
        <v>0</v>
      </c>
      <c r="K54" s="53">
        <f t="shared" si="16"/>
        <v>0</v>
      </c>
      <c r="L54" s="80">
        <f>L55</f>
        <v>0</v>
      </c>
      <c r="M54" s="80">
        <f t="shared" si="16"/>
        <v>0</v>
      </c>
      <c r="N54" s="24"/>
    </row>
    <row r="55" spans="2:15" ht="17.25" customHeight="1" x14ac:dyDescent="0.3">
      <c r="B55" s="27"/>
      <c r="C55" s="35" t="s">
        <v>65</v>
      </c>
      <c r="D55" s="57">
        <f>SUM(D56:D59)</f>
        <v>15000000</v>
      </c>
      <c r="E55" s="57">
        <f>SUM(E56:E59)</f>
        <v>0</v>
      </c>
      <c r="F55" s="57">
        <f>SUM(F56:F59)</f>
        <v>0</v>
      </c>
      <c r="G55" s="57">
        <f>SUM(G56:G59)</f>
        <v>0</v>
      </c>
      <c r="H55" s="48">
        <f>G55/D55</f>
        <v>0</v>
      </c>
      <c r="I55" s="57">
        <f>SUM(I56:I59)</f>
        <v>0</v>
      </c>
      <c r="J55" s="57">
        <f>SUM(J56:J59)</f>
        <v>0</v>
      </c>
      <c r="K55" s="57">
        <f>SUM(K56:K59)</f>
        <v>0</v>
      </c>
      <c r="L55" s="47">
        <f>K55/D55</f>
        <v>0</v>
      </c>
      <c r="M55" s="47">
        <f>SUM(L55)</f>
        <v>0</v>
      </c>
      <c r="N55" s="37"/>
    </row>
    <row r="56" spans="2:15" x14ac:dyDescent="0.3">
      <c r="B56" s="192">
        <v>22</v>
      </c>
      <c r="C56" s="15" t="s">
        <v>55</v>
      </c>
      <c r="D56" s="182">
        <v>9000000</v>
      </c>
      <c r="E56" s="172"/>
      <c r="F56" s="172"/>
      <c r="G56" s="170">
        <f>E56+F56</f>
        <v>0</v>
      </c>
      <c r="H56" s="177">
        <f>G56/D56</f>
        <v>0</v>
      </c>
      <c r="I56" s="170">
        <f>E56</f>
        <v>0</v>
      </c>
      <c r="J56" s="172">
        <f>F56</f>
        <v>0</v>
      </c>
      <c r="K56" s="170">
        <f>I56+J56</f>
        <v>0</v>
      </c>
      <c r="L56" s="175">
        <f>K56/D56</f>
        <v>0</v>
      </c>
      <c r="M56" s="177">
        <f>L56</f>
        <v>0</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6000000</v>
      </c>
      <c r="E58" s="188"/>
      <c r="F58" s="188"/>
      <c r="G58" s="174">
        <f>E58+F58</f>
        <v>0</v>
      </c>
      <c r="H58" s="185">
        <f>G58/D58</f>
        <v>0</v>
      </c>
      <c r="I58" s="189">
        <f>E58</f>
        <v>0</v>
      </c>
      <c r="J58" s="188">
        <f>F58</f>
        <v>0</v>
      </c>
      <c r="K58" s="174">
        <f>I58+J58</f>
        <v>0</v>
      </c>
      <c r="L58" s="184">
        <f>K58/D58</f>
        <v>0</v>
      </c>
      <c r="M58" s="185">
        <f>L58</f>
        <v>0</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0</v>
      </c>
      <c r="F60" s="58">
        <f t="shared" si="17"/>
        <v>0</v>
      </c>
      <c r="G60" s="58">
        <f t="shared" si="17"/>
        <v>0</v>
      </c>
      <c r="H60" s="46">
        <f>G60/D60</f>
        <v>0</v>
      </c>
      <c r="I60" s="58">
        <f t="shared" ref="I60:K61" si="18">SUM(I61)</f>
        <v>0</v>
      </c>
      <c r="J60" s="58">
        <f t="shared" si="18"/>
        <v>0</v>
      </c>
      <c r="K60" s="58">
        <f t="shared" si="18"/>
        <v>0</v>
      </c>
      <c r="L60" s="44">
        <f>K60/D60</f>
        <v>0</v>
      </c>
      <c r="M60" s="23">
        <f>SUM(L60)</f>
        <v>0</v>
      </c>
      <c r="N60" s="21"/>
    </row>
    <row r="61" spans="2:15" ht="25.5" customHeight="1" x14ac:dyDescent="0.3">
      <c r="B61" s="25"/>
      <c r="C61" s="38" t="s">
        <v>82</v>
      </c>
      <c r="D61" s="59">
        <f t="shared" si="17"/>
        <v>21600000</v>
      </c>
      <c r="E61" s="60">
        <f t="shared" si="17"/>
        <v>0</v>
      </c>
      <c r="F61" s="59">
        <f t="shared" si="17"/>
        <v>0</v>
      </c>
      <c r="G61" s="57">
        <f t="shared" si="17"/>
        <v>0</v>
      </c>
      <c r="H61" s="47">
        <f>G61/D61</f>
        <v>0</v>
      </c>
      <c r="I61" s="59">
        <f t="shared" si="18"/>
        <v>0</v>
      </c>
      <c r="J61" s="59">
        <f t="shared" si="18"/>
        <v>0</v>
      </c>
      <c r="K61" s="59">
        <f t="shared" si="18"/>
        <v>0</v>
      </c>
      <c r="L61" s="47">
        <f>K61/D61</f>
        <v>0</v>
      </c>
      <c r="M61" s="30">
        <f>SUM(L61)</f>
        <v>0</v>
      </c>
      <c r="N61" s="31"/>
    </row>
    <row r="62" spans="2:15" x14ac:dyDescent="0.3">
      <c r="B62" s="180">
        <v>25</v>
      </c>
      <c r="C62" s="12" t="s">
        <v>44</v>
      </c>
      <c r="D62" s="187">
        <v>21600000</v>
      </c>
      <c r="E62" s="188"/>
      <c r="F62" s="188"/>
      <c r="G62" s="170">
        <f>E62+F62</f>
        <v>0</v>
      </c>
      <c r="H62" s="185">
        <f>G62/D62</f>
        <v>0</v>
      </c>
      <c r="I62" s="174">
        <f>E62</f>
        <v>0</v>
      </c>
      <c r="J62" s="188">
        <f>F62</f>
        <v>0</v>
      </c>
      <c r="K62" s="174">
        <f>I62+J62</f>
        <v>0</v>
      </c>
      <c r="L62" s="184">
        <f>K62/D62</f>
        <v>0</v>
      </c>
      <c r="M62" s="185">
        <f>L62</f>
        <v>0</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48250000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48250000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4000000</v>
      </c>
      <c r="E68" s="188"/>
      <c r="F68" s="188"/>
      <c r="G68" s="174">
        <f>E68+F68</f>
        <v>0</v>
      </c>
      <c r="H68" s="185">
        <f>G68/D68</f>
        <v>0</v>
      </c>
      <c r="I68" s="174">
        <f>E68</f>
        <v>0</v>
      </c>
      <c r="J68" s="174">
        <f>F68</f>
        <v>0</v>
      </c>
      <c r="K68" s="174">
        <f>I68+J68</f>
        <v>0</v>
      </c>
      <c r="L68" s="184">
        <f>K68/D68</f>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7000000</v>
      </c>
      <c r="E70" s="52">
        <f t="shared" si="19"/>
        <v>0</v>
      </c>
      <c r="F70" s="52">
        <f t="shared" si="19"/>
        <v>0</v>
      </c>
      <c r="G70" s="52">
        <f t="shared" si="19"/>
        <v>0</v>
      </c>
      <c r="H70" s="23">
        <f>G70/D70</f>
        <v>0</v>
      </c>
      <c r="I70" s="52">
        <f t="shared" ref="I70:K71" si="20">SUM(I71)</f>
        <v>0</v>
      </c>
      <c r="J70" s="52">
        <f t="shared" si="20"/>
        <v>0</v>
      </c>
      <c r="K70" s="52">
        <f t="shared" si="20"/>
        <v>0</v>
      </c>
      <c r="L70" s="44">
        <f>K70/D70</f>
        <v>0</v>
      </c>
      <c r="M70" s="68">
        <f>SUM(L70)</f>
        <v>0</v>
      </c>
      <c r="N70" s="43"/>
    </row>
    <row r="71" spans="2:26" ht="38.25" customHeight="1" x14ac:dyDescent="0.3">
      <c r="B71" s="25"/>
      <c r="C71" s="39" t="s">
        <v>67</v>
      </c>
      <c r="D71" s="60">
        <f t="shared" si="19"/>
        <v>7000000</v>
      </c>
      <c r="E71" s="60">
        <f t="shared" si="19"/>
        <v>0</v>
      </c>
      <c r="F71" s="60">
        <f t="shared" si="19"/>
        <v>0</v>
      </c>
      <c r="G71" s="60">
        <f t="shared" si="19"/>
        <v>0</v>
      </c>
      <c r="H71" s="29">
        <f>G71/D71</f>
        <v>0</v>
      </c>
      <c r="I71" s="60">
        <f t="shared" si="20"/>
        <v>0</v>
      </c>
      <c r="J71" s="60">
        <f t="shared" si="20"/>
        <v>0</v>
      </c>
      <c r="K71" s="60">
        <f t="shared" si="20"/>
        <v>0</v>
      </c>
      <c r="L71" s="47">
        <f>K71/D71</f>
        <v>0</v>
      </c>
      <c r="M71" s="29">
        <f>SUM(L71)</f>
        <v>0</v>
      </c>
      <c r="N71" s="40"/>
    </row>
    <row r="72" spans="2:26" x14ac:dyDescent="0.3">
      <c r="B72" s="180">
        <v>28</v>
      </c>
      <c r="C72" s="17" t="s">
        <v>47</v>
      </c>
      <c r="D72" s="182">
        <v>7000000</v>
      </c>
      <c r="E72" s="172"/>
      <c r="F72" s="172"/>
      <c r="G72" s="174">
        <f>E72+F72</f>
        <v>0</v>
      </c>
      <c r="H72" s="177">
        <f>G72/D72</f>
        <v>0</v>
      </c>
      <c r="I72" s="170">
        <f>E72</f>
        <v>0</v>
      </c>
      <c r="J72" s="172">
        <f>F72</f>
        <v>0</v>
      </c>
      <c r="K72" s="174">
        <f>I72+J72</f>
        <v>0</v>
      </c>
      <c r="L72" s="175">
        <f>K72/D72</f>
        <v>0</v>
      </c>
      <c r="M72" s="177">
        <f>L72</f>
        <v>0</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2801486092</v>
      </c>
      <c r="E74" s="165">
        <f>E9+E48+E54+E60+E64+E70</f>
        <v>0</v>
      </c>
      <c r="F74" s="165">
        <f>F9+F48+F54+F60+F64+F70</f>
        <v>167402542</v>
      </c>
      <c r="G74" s="159">
        <f>G9+G48+G54+G60+G64+G70</f>
        <v>167402542</v>
      </c>
      <c r="H74" s="157">
        <f>G74/D74</f>
        <v>5.9754907396484765E-2</v>
      </c>
      <c r="I74" s="159">
        <f>I9+I48+I54+I60+I64+I70</f>
        <v>0</v>
      </c>
      <c r="J74" s="159">
        <f>J9+J48+J54+J60+J64+J70</f>
        <v>167402542</v>
      </c>
      <c r="K74" s="159">
        <f>K9+K48+K54+K60+K64+K70</f>
        <v>167402542</v>
      </c>
      <c r="L74" s="157">
        <f>K74/D74</f>
        <v>5.9754907396484765E-2</v>
      </c>
      <c r="M74" s="157">
        <f>K74/D74</f>
        <v>5.9754907396484765E-2</v>
      </c>
      <c r="N74" s="153"/>
    </row>
    <row r="75" spans="2:26" ht="15" thickBot="1" x14ac:dyDescent="0.35">
      <c r="B75" s="162"/>
      <c r="C75" s="164"/>
      <c r="D75" s="160"/>
      <c r="E75" s="166"/>
      <c r="F75" s="166"/>
      <c r="G75" s="160"/>
      <c r="H75" s="158"/>
      <c r="I75" s="160"/>
      <c r="J75" s="160"/>
      <c r="K75" s="160"/>
      <c r="L75" s="158"/>
      <c r="M75" s="158"/>
      <c r="N75" s="154"/>
    </row>
    <row r="76" spans="2:26" x14ac:dyDescent="0.3">
      <c r="B76" s="88"/>
      <c r="D76" s="2"/>
      <c r="E76" s="69"/>
      <c r="F76" s="7"/>
      <c r="G76" s="61"/>
      <c r="L76" s="88"/>
    </row>
    <row r="77" spans="2:26" x14ac:dyDescent="0.3">
      <c r="D77" s="4"/>
      <c r="E77" s="62"/>
      <c r="F77" s="63"/>
      <c r="G77" s="45"/>
      <c r="J77" s="155" t="s">
        <v>95</v>
      </c>
      <c r="K77" s="155"/>
      <c r="L77" s="155"/>
      <c r="M77" s="155"/>
      <c r="N77" s="89"/>
    </row>
    <row r="78" spans="2:26" x14ac:dyDescent="0.3">
      <c r="D78" s="4"/>
      <c r="E78" s="62"/>
      <c r="G78" s="61"/>
      <c r="J78" s="155" t="s">
        <v>56</v>
      </c>
      <c r="K78" s="155"/>
      <c r="L78" s="155"/>
      <c r="M78" s="155"/>
      <c r="N78" s="89"/>
    </row>
    <row r="79" spans="2:26" x14ac:dyDescent="0.3">
      <c r="D79" s="4"/>
      <c r="E79" s="62"/>
      <c r="K79" s="89"/>
      <c r="L79" s="89"/>
      <c r="M79" s="89"/>
      <c r="N79" s="89"/>
    </row>
    <row r="80" spans="2:26" x14ac:dyDescent="0.3">
      <c r="D80" s="4"/>
      <c r="E80" s="70"/>
      <c r="F80" s="62"/>
      <c r="G80" s="45"/>
      <c r="K80" s="89"/>
      <c r="L80" s="89"/>
      <c r="M80" s="89"/>
      <c r="N80" s="89"/>
    </row>
    <row r="81" spans="2:14" x14ac:dyDescent="0.3">
      <c r="D81" s="78"/>
      <c r="K81" s="89"/>
      <c r="L81" s="89"/>
      <c r="M81" s="89"/>
      <c r="N81" s="89"/>
    </row>
    <row r="82" spans="2:14" x14ac:dyDescent="0.3">
      <c r="D82" s="4"/>
      <c r="E82" s="63"/>
      <c r="J82" s="156" t="s">
        <v>59</v>
      </c>
      <c r="K82" s="156"/>
      <c r="L82" s="156"/>
      <c r="M82" s="156"/>
      <c r="N82" s="89"/>
    </row>
    <row r="83" spans="2:14" ht="13.8" customHeight="1" x14ac:dyDescent="0.3">
      <c r="D83" s="78"/>
      <c r="J83" s="155" t="s">
        <v>79</v>
      </c>
      <c r="K83" s="155"/>
      <c r="L83" s="155"/>
      <c r="M83" s="155"/>
      <c r="N83" s="89"/>
    </row>
    <row r="84" spans="2:14" x14ac:dyDescent="0.3">
      <c r="D84" s="4"/>
      <c r="J84" s="155" t="s">
        <v>60</v>
      </c>
      <c r="K84" s="155"/>
      <c r="L84" s="155"/>
      <c r="M84" s="155"/>
      <c r="N84" s="5"/>
    </row>
    <row r="85" spans="2:14" x14ac:dyDescent="0.3">
      <c r="B85" s="88"/>
      <c r="D85" s="2"/>
      <c r="E85" s="71"/>
      <c r="L85" s="88"/>
    </row>
    <row r="86" spans="2:14" x14ac:dyDescent="0.3">
      <c r="B86" s="88"/>
      <c r="D86" s="2"/>
      <c r="E86" s="71"/>
      <c r="L86" s="88"/>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J77:M77"/>
    <mergeCell ref="J78:M78"/>
    <mergeCell ref="J82:M82"/>
    <mergeCell ref="J83:M83"/>
    <mergeCell ref="J84:M84"/>
    <mergeCell ref="H74:H75"/>
    <mergeCell ref="I74:I75"/>
    <mergeCell ref="J74:J75"/>
    <mergeCell ref="K74:K75"/>
    <mergeCell ref="L74:L75"/>
    <mergeCell ref="M74:M75"/>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X72:X73"/>
    <mergeCell ref="Y72:Y73"/>
    <mergeCell ref="Z72:Z73"/>
    <mergeCell ref="O72:O73"/>
    <mergeCell ref="P72:P73"/>
    <mergeCell ref="Q72:Q73"/>
    <mergeCell ref="R72:R73"/>
    <mergeCell ref="S72:S73"/>
    <mergeCell ref="T72:T73"/>
    <mergeCell ref="I68:I69"/>
    <mergeCell ref="J68:J69"/>
    <mergeCell ref="K68:K69"/>
    <mergeCell ref="L68:L69"/>
    <mergeCell ref="M68:M69"/>
    <mergeCell ref="N68:N69"/>
    <mergeCell ref="B68:B69"/>
    <mergeCell ref="D68:D69"/>
    <mergeCell ref="E68:E69"/>
    <mergeCell ref="F68:F69"/>
    <mergeCell ref="G68:G69"/>
    <mergeCell ref="H68:H69"/>
    <mergeCell ref="I66:I67"/>
    <mergeCell ref="J66:J67"/>
    <mergeCell ref="K66:K67"/>
    <mergeCell ref="L66:L67"/>
    <mergeCell ref="M66:M67"/>
    <mergeCell ref="N66:N67"/>
    <mergeCell ref="B66:B67"/>
    <mergeCell ref="D66:D67"/>
    <mergeCell ref="E66:E67"/>
    <mergeCell ref="F66:F67"/>
    <mergeCell ref="G66:G67"/>
    <mergeCell ref="H66:H67"/>
    <mergeCell ref="I62:I63"/>
    <mergeCell ref="J62:J63"/>
    <mergeCell ref="K62:K63"/>
    <mergeCell ref="L62:L63"/>
    <mergeCell ref="M62:M63"/>
    <mergeCell ref="N62:N63"/>
    <mergeCell ref="B62:B63"/>
    <mergeCell ref="D62:D63"/>
    <mergeCell ref="E62:E63"/>
    <mergeCell ref="F62:F63"/>
    <mergeCell ref="G62:G63"/>
    <mergeCell ref="H62:H63"/>
    <mergeCell ref="I58:I59"/>
    <mergeCell ref="J58:J59"/>
    <mergeCell ref="K58:K59"/>
    <mergeCell ref="L58:L59"/>
    <mergeCell ref="M58:M59"/>
    <mergeCell ref="N58:N59"/>
    <mergeCell ref="B58:B59"/>
    <mergeCell ref="D58:D59"/>
    <mergeCell ref="E58:E59"/>
    <mergeCell ref="F58:F59"/>
    <mergeCell ref="G58:G59"/>
    <mergeCell ref="H58:H59"/>
    <mergeCell ref="I56:I57"/>
    <mergeCell ref="J56:J57"/>
    <mergeCell ref="K56:K57"/>
    <mergeCell ref="L56:L57"/>
    <mergeCell ref="M56:M57"/>
    <mergeCell ref="N56:N57"/>
    <mergeCell ref="B56:B57"/>
    <mergeCell ref="D56:D57"/>
    <mergeCell ref="E56:E57"/>
    <mergeCell ref="F56:F57"/>
    <mergeCell ref="G56:G57"/>
    <mergeCell ref="H56:H57"/>
    <mergeCell ref="I52:I53"/>
    <mergeCell ref="J52:J53"/>
    <mergeCell ref="K52:K53"/>
    <mergeCell ref="L52:L53"/>
    <mergeCell ref="M52:M53"/>
    <mergeCell ref="N52:N53"/>
    <mergeCell ref="B52:B53"/>
    <mergeCell ref="D52:D53"/>
    <mergeCell ref="E52:E53"/>
    <mergeCell ref="F52:F53"/>
    <mergeCell ref="G52:G53"/>
    <mergeCell ref="H52:H53"/>
    <mergeCell ref="I50:I51"/>
    <mergeCell ref="J50:J51"/>
    <mergeCell ref="K50:K51"/>
    <mergeCell ref="L50:L51"/>
    <mergeCell ref="M50:M51"/>
    <mergeCell ref="N50:N51"/>
    <mergeCell ref="B50:B51"/>
    <mergeCell ref="D50:D51"/>
    <mergeCell ref="E50:E51"/>
    <mergeCell ref="F50:F51"/>
    <mergeCell ref="G50:G51"/>
    <mergeCell ref="H50:H51"/>
    <mergeCell ref="I46:I47"/>
    <mergeCell ref="J46:J47"/>
    <mergeCell ref="K46:K47"/>
    <mergeCell ref="L46:L47"/>
    <mergeCell ref="M46:M47"/>
    <mergeCell ref="N46:N47"/>
    <mergeCell ref="B46:B47"/>
    <mergeCell ref="D46:D47"/>
    <mergeCell ref="E46:E47"/>
    <mergeCell ref="F46:F47"/>
    <mergeCell ref="G46:G47"/>
    <mergeCell ref="H46:H47"/>
    <mergeCell ref="I44:I45"/>
    <mergeCell ref="J44:J45"/>
    <mergeCell ref="K44:K45"/>
    <mergeCell ref="L44:L45"/>
    <mergeCell ref="M44:M45"/>
    <mergeCell ref="N44:N45"/>
    <mergeCell ref="B44:B45"/>
    <mergeCell ref="D44:D45"/>
    <mergeCell ref="E44:E45"/>
    <mergeCell ref="F44:F45"/>
    <mergeCell ref="G44:G45"/>
    <mergeCell ref="H44:H45"/>
    <mergeCell ref="I42:I43"/>
    <mergeCell ref="J42:J43"/>
    <mergeCell ref="K42:K43"/>
    <mergeCell ref="L42:L43"/>
    <mergeCell ref="M42:M43"/>
    <mergeCell ref="N42:N43"/>
    <mergeCell ref="B42:B43"/>
    <mergeCell ref="D42:D43"/>
    <mergeCell ref="E42:E43"/>
    <mergeCell ref="F42:F43"/>
    <mergeCell ref="G42:G43"/>
    <mergeCell ref="H42:H43"/>
    <mergeCell ref="I39:I40"/>
    <mergeCell ref="J39:J40"/>
    <mergeCell ref="K39:K40"/>
    <mergeCell ref="L39:L40"/>
    <mergeCell ref="M39:M40"/>
    <mergeCell ref="N39:N40"/>
    <mergeCell ref="B39:B40"/>
    <mergeCell ref="D39:D40"/>
    <mergeCell ref="E39:E40"/>
    <mergeCell ref="F39:F40"/>
    <mergeCell ref="G39:G40"/>
    <mergeCell ref="H39:H40"/>
    <mergeCell ref="I37:I38"/>
    <mergeCell ref="J37:J38"/>
    <mergeCell ref="K37:K38"/>
    <mergeCell ref="L37:L38"/>
    <mergeCell ref="M37:M38"/>
    <mergeCell ref="N37:N38"/>
    <mergeCell ref="B37:B38"/>
    <mergeCell ref="D37:D38"/>
    <mergeCell ref="E37:E38"/>
    <mergeCell ref="F37:F38"/>
    <mergeCell ref="G37:G38"/>
    <mergeCell ref="H37:H38"/>
    <mergeCell ref="I34:I35"/>
    <mergeCell ref="J34:J35"/>
    <mergeCell ref="K34:K35"/>
    <mergeCell ref="L34:L35"/>
    <mergeCell ref="M34:M35"/>
    <mergeCell ref="N34:N35"/>
    <mergeCell ref="B34:B35"/>
    <mergeCell ref="D34:D35"/>
    <mergeCell ref="E34:E35"/>
    <mergeCell ref="F34:F35"/>
    <mergeCell ref="G34:G35"/>
    <mergeCell ref="H34:H35"/>
    <mergeCell ref="I32:I33"/>
    <mergeCell ref="J32:J33"/>
    <mergeCell ref="K32:K33"/>
    <mergeCell ref="L32:L33"/>
    <mergeCell ref="M32:M33"/>
    <mergeCell ref="N32:N33"/>
    <mergeCell ref="B32:B33"/>
    <mergeCell ref="D32:D33"/>
    <mergeCell ref="E32:E33"/>
    <mergeCell ref="F32:F33"/>
    <mergeCell ref="G32:G33"/>
    <mergeCell ref="H32:H33"/>
    <mergeCell ref="I30:I31"/>
    <mergeCell ref="J30:J31"/>
    <mergeCell ref="K30:K31"/>
    <mergeCell ref="L30:L31"/>
    <mergeCell ref="M30:M31"/>
    <mergeCell ref="N30:N31"/>
    <mergeCell ref="B30:B31"/>
    <mergeCell ref="D30:D31"/>
    <mergeCell ref="E30:E31"/>
    <mergeCell ref="F30:F31"/>
    <mergeCell ref="G30:G31"/>
    <mergeCell ref="H30:H31"/>
    <mergeCell ref="I28:I29"/>
    <mergeCell ref="J28:J29"/>
    <mergeCell ref="K28:K29"/>
    <mergeCell ref="L28:L29"/>
    <mergeCell ref="M28:M29"/>
    <mergeCell ref="N28:N29"/>
    <mergeCell ref="B28:B29"/>
    <mergeCell ref="D28:D29"/>
    <mergeCell ref="E28:E29"/>
    <mergeCell ref="F28:F29"/>
    <mergeCell ref="G28:G29"/>
    <mergeCell ref="H28:H29"/>
    <mergeCell ref="I26:I27"/>
    <mergeCell ref="J26:J27"/>
    <mergeCell ref="K26:K27"/>
    <mergeCell ref="L26:L27"/>
    <mergeCell ref="M26:M27"/>
    <mergeCell ref="N26:N27"/>
    <mergeCell ref="B26:B27"/>
    <mergeCell ref="D26:D27"/>
    <mergeCell ref="E26:E27"/>
    <mergeCell ref="F26:F27"/>
    <mergeCell ref="G26:G27"/>
    <mergeCell ref="H26:H27"/>
    <mergeCell ref="I24:I25"/>
    <mergeCell ref="J24:J25"/>
    <mergeCell ref="K24:K25"/>
    <mergeCell ref="L24:L25"/>
    <mergeCell ref="M24:M25"/>
    <mergeCell ref="N24:N25"/>
    <mergeCell ref="B24:B25"/>
    <mergeCell ref="D24:D25"/>
    <mergeCell ref="E24:E25"/>
    <mergeCell ref="F24:F25"/>
    <mergeCell ref="G24:G25"/>
    <mergeCell ref="H24:H25"/>
    <mergeCell ref="I22:I23"/>
    <mergeCell ref="J22:J23"/>
    <mergeCell ref="K22:K23"/>
    <mergeCell ref="L22:L23"/>
    <mergeCell ref="M22:M23"/>
    <mergeCell ref="N22:N23"/>
    <mergeCell ref="B22:B23"/>
    <mergeCell ref="D22:D23"/>
    <mergeCell ref="E22:E23"/>
    <mergeCell ref="F22:F23"/>
    <mergeCell ref="G22:G23"/>
    <mergeCell ref="H22:H23"/>
    <mergeCell ref="I19:I20"/>
    <mergeCell ref="J19:J20"/>
    <mergeCell ref="K19:K20"/>
    <mergeCell ref="L19:L20"/>
    <mergeCell ref="M19:M20"/>
    <mergeCell ref="N19:N20"/>
    <mergeCell ref="B19:B20"/>
    <mergeCell ref="D19:D20"/>
    <mergeCell ref="E19:E20"/>
    <mergeCell ref="F19:F20"/>
    <mergeCell ref="G19:G20"/>
    <mergeCell ref="H19:H20"/>
    <mergeCell ref="I16:I17"/>
    <mergeCell ref="J16:J17"/>
    <mergeCell ref="K16:K17"/>
    <mergeCell ref="L16:L17"/>
    <mergeCell ref="M16:M17"/>
    <mergeCell ref="N16:N17"/>
    <mergeCell ref="B16:B17"/>
    <mergeCell ref="D16:D17"/>
    <mergeCell ref="E16:E17"/>
    <mergeCell ref="F16:F17"/>
    <mergeCell ref="G16:G17"/>
    <mergeCell ref="H16:H17"/>
    <mergeCell ref="I13:I14"/>
    <mergeCell ref="J13:J14"/>
    <mergeCell ref="K13:K14"/>
    <mergeCell ref="L13:L14"/>
    <mergeCell ref="M13:M14"/>
    <mergeCell ref="N13:N14"/>
    <mergeCell ref="B13:B14"/>
    <mergeCell ref="D13:D14"/>
    <mergeCell ref="E13:E14"/>
    <mergeCell ref="F13:F14"/>
    <mergeCell ref="G13:G14"/>
    <mergeCell ref="H13:H14"/>
    <mergeCell ref="I11:I12"/>
    <mergeCell ref="J11:J12"/>
    <mergeCell ref="K11:K12"/>
    <mergeCell ref="L11:L12"/>
    <mergeCell ref="M11:M12"/>
    <mergeCell ref="N11:N12"/>
    <mergeCell ref="B11:B12"/>
    <mergeCell ref="D11:D12"/>
    <mergeCell ref="E11:E12"/>
    <mergeCell ref="F11:F12"/>
    <mergeCell ref="G11:G12"/>
    <mergeCell ref="H11:H12"/>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s>
  <pageMargins left="1.1023622047244095" right="0.70866141732283472" top="0.74803149606299213" bottom="0.74803149606299213" header="0.31496062992125984" footer="0.31496062992125984"/>
  <pageSetup paperSize="5" scale="70" orientation="landscape" horizontalDpi="300" verticalDpi="300" r:id="rId1"/>
  <rowBreaks count="1" manualBreakCount="1">
    <brk id="57"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F16"/>
  <sheetViews>
    <sheetView topLeftCell="A10" zoomScaleNormal="100" zoomScaleSheetLayoutView="100" workbookViewId="0">
      <selection activeCell="I12" sqref="I12"/>
    </sheetView>
  </sheetViews>
  <sheetFormatPr defaultColWidth="9.109375" defaultRowHeight="18" x14ac:dyDescent="0.35"/>
  <cols>
    <col min="1" max="1" width="6.6640625" style="82" customWidth="1"/>
    <col min="2" max="2" width="27.6640625" style="82" customWidth="1"/>
    <col min="3" max="5" width="24" style="82" customWidth="1"/>
    <col min="6" max="6" width="26" style="82" customWidth="1"/>
    <col min="7" max="16384" width="9.109375" style="82"/>
  </cols>
  <sheetData>
    <row r="1" spans="2:6" x14ac:dyDescent="0.35">
      <c r="B1" s="81"/>
      <c r="C1" s="81"/>
      <c r="D1" s="81"/>
    </row>
    <row r="2" spans="2:6" ht="23.25" customHeight="1" x14ac:dyDescent="0.35">
      <c r="B2" s="253" t="s">
        <v>92</v>
      </c>
      <c r="C2" s="250" t="s">
        <v>87</v>
      </c>
      <c r="D2" s="250"/>
      <c r="E2" s="251" t="s">
        <v>90</v>
      </c>
      <c r="F2" s="251" t="s">
        <v>91</v>
      </c>
    </row>
    <row r="3" spans="2:6" ht="23.25" customHeight="1" x14ac:dyDescent="0.35">
      <c r="B3" s="253"/>
      <c r="C3" s="83" t="s">
        <v>88</v>
      </c>
      <c r="D3" s="83" t="s">
        <v>89</v>
      </c>
      <c r="E3" s="252"/>
      <c r="F3" s="252"/>
    </row>
    <row r="4" spans="2:6" ht="23.25" customHeight="1" x14ac:dyDescent="0.35">
      <c r="B4" s="84" t="s">
        <v>83</v>
      </c>
      <c r="C4" s="85">
        <v>1821420648</v>
      </c>
      <c r="D4" s="85">
        <v>1821420648</v>
      </c>
      <c r="E4" s="85">
        <v>1763731827</v>
      </c>
      <c r="F4" s="85">
        <v>1944511238</v>
      </c>
    </row>
    <row r="5" spans="2:6" ht="23.25" customHeight="1" x14ac:dyDescent="0.35">
      <c r="B5" s="84" t="s">
        <v>84</v>
      </c>
      <c r="C5" s="85">
        <v>731974339</v>
      </c>
      <c r="D5" s="85">
        <v>1044774339</v>
      </c>
      <c r="E5" s="85">
        <v>748581348</v>
      </c>
      <c r="F5" s="85">
        <f>230230440+334501961+50000000</f>
        <v>614732401</v>
      </c>
    </row>
    <row r="6" spans="2:6" ht="23.25" customHeight="1" x14ac:dyDescent="0.35">
      <c r="B6" s="84" t="s">
        <v>85</v>
      </c>
      <c r="C6" s="85">
        <v>50237500</v>
      </c>
      <c r="D6" s="85">
        <v>50237500</v>
      </c>
      <c r="E6" s="85">
        <v>16150000</v>
      </c>
      <c r="F6" s="85"/>
    </row>
    <row r="7" spans="2:6" ht="23.25" customHeight="1" x14ac:dyDescent="0.35">
      <c r="B7" s="84" t="s">
        <v>86</v>
      </c>
      <c r="C7" s="85">
        <f>SUM(C4:C6)</f>
        <v>2603632487</v>
      </c>
      <c r="D7" s="85">
        <f>SUM(D4:D6)</f>
        <v>2916432487</v>
      </c>
      <c r="E7" s="85">
        <f>SUM(E4:E6)</f>
        <v>2528463175</v>
      </c>
      <c r="F7" s="85">
        <f>SUM(F4:F6)</f>
        <v>2559243639</v>
      </c>
    </row>
    <row r="8" spans="2:6" x14ac:dyDescent="0.35">
      <c r="E8" s="81"/>
    </row>
    <row r="11" spans="2:6" ht="21" customHeight="1" x14ac:dyDescent="0.35">
      <c r="B11" s="253" t="s">
        <v>92</v>
      </c>
      <c r="C11" s="250" t="s">
        <v>87</v>
      </c>
      <c r="D11" s="250"/>
      <c r="E11" s="251" t="s">
        <v>90</v>
      </c>
      <c r="F11" s="251" t="s">
        <v>91</v>
      </c>
    </row>
    <row r="12" spans="2:6" ht="21" customHeight="1" x14ac:dyDescent="0.35">
      <c r="B12" s="253"/>
      <c r="C12" s="83" t="s">
        <v>88</v>
      </c>
      <c r="D12" s="83" t="s">
        <v>89</v>
      </c>
      <c r="E12" s="252"/>
      <c r="F12" s="252"/>
    </row>
    <row r="13" spans="2:6" ht="21" customHeight="1" x14ac:dyDescent="0.35">
      <c r="B13" s="84" t="s">
        <v>83</v>
      </c>
      <c r="C13" s="85">
        <v>1821420648</v>
      </c>
      <c r="D13" s="85">
        <f>1821420648-C13</f>
        <v>0</v>
      </c>
      <c r="E13" s="85">
        <v>1763731827</v>
      </c>
      <c r="F13" s="85">
        <v>1944511238</v>
      </c>
    </row>
    <row r="14" spans="2:6" ht="21" customHeight="1" x14ac:dyDescent="0.35">
      <c r="B14" s="84" t="s">
        <v>84</v>
      </c>
      <c r="C14" s="85">
        <v>731974339</v>
      </c>
      <c r="D14" s="85">
        <f>1044774339-C14</f>
        <v>312800000</v>
      </c>
      <c r="E14" s="85">
        <v>748581348</v>
      </c>
      <c r="F14" s="85">
        <f>230230440+334501961+50000000</f>
        <v>614732401</v>
      </c>
    </row>
    <row r="15" spans="2:6" ht="21" customHeight="1" x14ac:dyDescent="0.35">
      <c r="B15" s="84" t="s">
        <v>85</v>
      </c>
      <c r="C15" s="85">
        <v>50237500</v>
      </c>
      <c r="D15" s="85">
        <f>50237500-C15</f>
        <v>0</v>
      </c>
      <c r="E15" s="85">
        <v>16150000</v>
      </c>
      <c r="F15" s="85"/>
    </row>
    <row r="16" spans="2:6" ht="21" customHeight="1" x14ac:dyDescent="0.35">
      <c r="B16" s="84" t="s">
        <v>86</v>
      </c>
      <c r="C16" s="85">
        <f>SUM(C13:C15)</f>
        <v>2603632487</v>
      </c>
      <c r="D16" s="85">
        <f>SUM(D13:D15)</f>
        <v>312800000</v>
      </c>
      <c r="E16" s="85">
        <f>SUM(E13:E15)</f>
        <v>2528463175</v>
      </c>
      <c r="F16" s="85">
        <f>SUM(F13:F15)</f>
        <v>2559243639</v>
      </c>
    </row>
  </sheetData>
  <mergeCells count="8">
    <mergeCell ref="C2:D2"/>
    <mergeCell ref="E2:E3"/>
    <mergeCell ref="F2:F3"/>
    <mergeCell ref="B2:B3"/>
    <mergeCell ref="B11:B12"/>
    <mergeCell ref="C11:D11"/>
    <mergeCell ref="E11:E12"/>
    <mergeCell ref="F11:F12"/>
  </mergeCells>
  <pageMargins left="0.7" right="0.7" top="0.75" bottom="0.75" header="0.3" footer="0.3"/>
  <pageSetup paperSize="9" scale="9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7D4A-836B-4E9A-9E08-24617822248F}">
  <dimension ref="A1:Z95"/>
  <sheetViews>
    <sheetView view="pageBreakPreview" zoomScale="78" zoomScaleNormal="75" zoomScaleSheetLayoutView="78" workbookViewId="0">
      <pane xSplit="3" ySplit="2" topLeftCell="D66" activePane="bottomRight" state="frozen"/>
      <selection pane="topRight" activeCell="C1" sqref="C1"/>
      <selection pane="bottomLeft" activeCell="A3" sqref="A3"/>
      <selection pane="bottomRight" activeCell="G78" sqref="G78"/>
    </sheetView>
  </sheetViews>
  <sheetFormatPr defaultRowHeight="14.4" x14ac:dyDescent="0.3"/>
  <cols>
    <col min="1" max="1" width="5.2187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5.6640625"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150"/>
      <c r="H3" s="150"/>
      <c r="I3" s="150"/>
      <c r="J3" s="150"/>
      <c r="K3" s="150"/>
      <c r="L3" s="150"/>
      <c r="M3" s="150"/>
      <c r="N3" s="150"/>
    </row>
    <row r="4" spans="1:19" x14ac:dyDescent="0.3">
      <c r="B4" s="213" t="s">
        <v>141</v>
      </c>
      <c r="C4" s="213"/>
      <c r="D4" s="1"/>
      <c r="E4" s="6"/>
      <c r="F4" s="6"/>
      <c r="G4" s="3"/>
      <c r="H4" s="150"/>
      <c r="I4" s="150"/>
      <c r="J4" s="150"/>
      <c r="K4" s="150"/>
      <c r="L4" s="150"/>
      <c r="M4" s="150"/>
      <c r="N4" s="150"/>
    </row>
    <row r="5" spans="1:19" x14ac:dyDescent="0.3">
      <c r="B5" s="213"/>
      <c r="C5" s="213"/>
      <c r="D5" s="1"/>
      <c r="E5" s="6"/>
      <c r="F5" s="6"/>
      <c r="G5" s="3"/>
      <c r="H5" s="150"/>
      <c r="I5" s="150"/>
      <c r="J5" s="150"/>
      <c r="K5" s="150"/>
      <c r="L5" s="150"/>
      <c r="M5" s="150"/>
      <c r="N5" s="150"/>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2684346092</v>
      </c>
      <c r="E9" s="51">
        <f>I9</f>
        <v>1468021751</v>
      </c>
      <c r="F9" s="51">
        <f>F10+F15+F18+F21+F36+F41</f>
        <v>170943569</v>
      </c>
      <c r="G9" s="51">
        <f>G10+G15+G18+G21+G36+G41</f>
        <v>1638965320</v>
      </c>
      <c r="H9" s="50">
        <f>G9/D9</f>
        <v>0.61056408668185991</v>
      </c>
      <c r="I9" s="51">
        <f>I10+I15+I18+I21+I36+I41</f>
        <v>1468021751</v>
      </c>
      <c r="J9" s="51">
        <f t="shared" ref="J9:K9" si="0">J10+J15+J18+J21+J36+J41</f>
        <v>170943569</v>
      </c>
      <c r="K9" s="51">
        <f t="shared" si="0"/>
        <v>1638965320</v>
      </c>
      <c r="L9" s="50">
        <f>K9/D9</f>
        <v>0.61056408668185991</v>
      </c>
      <c r="M9" s="72">
        <f>K9/D9</f>
        <v>0.61056408668185991</v>
      </c>
      <c r="N9" s="41"/>
      <c r="O9"/>
      <c r="P9"/>
      <c r="Q9"/>
      <c r="R9"/>
      <c r="S9"/>
    </row>
    <row r="10" spans="1:19" ht="30" customHeight="1" x14ac:dyDescent="0.3">
      <c r="B10" s="25"/>
      <c r="C10" s="26" t="s">
        <v>61</v>
      </c>
      <c r="D10" s="54">
        <f>SUM(D11:D14)</f>
        <v>6915400</v>
      </c>
      <c r="E10" s="54">
        <f>SUM(E11:E14)</f>
        <v>751750</v>
      </c>
      <c r="F10" s="54">
        <f>SUM(F11:F14)</f>
        <v>841950</v>
      </c>
      <c r="G10" s="54">
        <f>SUM(G11:G14)</f>
        <v>1593700</v>
      </c>
      <c r="H10" s="29">
        <f>G10/D10</f>
        <v>0.23045666194291003</v>
      </c>
      <c r="I10" s="54">
        <f>SUM(I11:I14)</f>
        <v>751750</v>
      </c>
      <c r="J10" s="54">
        <f>SUM(J11:J14)</f>
        <v>841950</v>
      </c>
      <c r="K10" s="54">
        <f>SUM(K11:K14)</f>
        <v>1593700</v>
      </c>
      <c r="L10" s="47">
        <f>K10/D10</f>
        <v>0.23045666194291003</v>
      </c>
      <c r="M10" s="67">
        <f>K10/D10</f>
        <v>0.23045666194291003</v>
      </c>
      <c r="N10" s="28"/>
    </row>
    <row r="11" spans="1:19" x14ac:dyDescent="0.3">
      <c r="B11" s="180">
        <v>1</v>
      </c>
      <c r="C11" s="12" t="s">
        <v>30</v>
      </c>
      <c r="D11" s="195">
        <v>5093700</v>
      </c>
      <c r="E11" s="188">
        <v>751750</v>
      </c>
      <c r="F11" s="188">
        <f>366750+475200</f>
        <v>841950</v>
      </c>
      <c r="G11" s="174">
        <f>E11+F11</f>
        <v>1593700</v>
      </c>
      <c r="H11" s="177">
        <f>G11/D11</f>
        <v>0.31287669081414299</v>
      </c>
      <c r="I11" s="174">
        <f>E11</f>
        <v>751750</v>
      </c>
      <c r="J11" s="174">
        <f>F11</f>
        <v>841950</v>
      </c>
      <c r="K11" s="174">
        <f>I11+J11</f>
        <v>1593700</v>
      </c>
      <c r="L11" s="175">
        <f>K11/D11</f>
        <v>0.31287669081414299</v>
      </c>
      <c r="M11" s="185">
        <f>L11</f>
        <v>0.31287669081414299</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1821700</v>
      </c>
      <c r="E13" s="188"/>
      <c r="F13" s="206"/>
      <c r="G13" s="174">
        <f>E13+F13</f>
        <v>0</v>
      </c>
      <c r="H13" s="177">
        <f>G13/D13</f>
        <v>0</v>
      </c>
      <c r="I13" s="174">
        <f>E13</f>
        <v>0</v>
      </c>
      <c r="J13" s="174">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1122298294</v>
      </c>
      <c r="F15" s="55">
        <f>SUM(F16)</f>
        <v>125614813</v>
      </c>
      <c r="G15" s="55">
        <f>SUM(G16)</f>
        <v>1247913107</v>
      </c>
      <c r="H15" s="66">
        <f>G15/D15</f>
        <v>0.60544378036092306</v>
      </c>
      <c r="I15" s="56">
        <f>SUM(I16)</f>
        <v>1122298294</v>
      </c>
      <c r="J15" s="56">
        <f>SUM(J16)</f>
        <v>125614813</v>
      </c>
      <c r="K15" s="56">
        <f>SUM(K16)</f>
        <v>1247913107</v>
      </c>
      <c r="L15" s="29">
        <f>K15/D15</f>
        <v>0.60544378036092306</v>
      </c>
      <c r="M15" s="30">
        <f>K15/D15</f>
        <v>0.60544378036092306</v>
      </c>
      <c r="N15" s="31"/>
    </row>
    <row r="16" spans="1:19" x14ac:dyDescent="0.3">
      <c r="B16" s="180">
        <v>3</v>
      </c>
      <c r="C16" s="12" t="s">
        <v>33</v>
      </c>
      <c r="D16" s="187">
        <v>2061154392</v>
      </c>
      <c r="E16" s="203">
        <v>1122298294</v>
      </c>
      <c r="F16" s="203">
        <f xml:space="preserve"> 1247913107-E16</f>
        <v>125614813</v>
      </c>
      <c r="G16" s="174">
        <f>E16+F16</f>
        <v>1247913107</v>
      </c>
      <c r="H16" s="177">
        <f>G16/D16</f>
        <v>0.60544378036092306</v>
      </c>
      <c r="I16" s="170">
        <f>E16</f>
        <v>1122298294</v>
      </c>
      <c r="J16" s="170">
        <f>F16</f>
        <v>125614813</v>
      </c>
      <c r="K16" s="170">
        <f>I16+J16</f>
        <v>1247913107</v>
      </c>
      <c r="L16" s="175">
        <f>K16/D16</f>
        <v>0.60544378036092306</v>
      </c>
      <c r="M16" s="185">
        <f>L16</f>
        <v>0.60544378036092306</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50000000</v>
      </c>
      <c r="F18" s="57">
        <f>SUM(F19)</f>
        <v>0</v>
      </c>
      <c r="G18" s="57">
        <f>SUM(G19)</f>
        <v>50000000</v>
      </c>
      <c r="H18" s="48">
        <f>G18/D18</f>
        <v>1</v>
      </c>
      <c r="I18" s="57">
        <f>SUM(I19)</f>
        <v>50000000</v>
      </c>
      <c r="J18" s="57">
        <f>SUM(J19)</f>
        <v>0</v>
      </c>
      <c r="K18" s="57">
        <f>SUM(K19)</f>
        <v>50000000</v>
      </c>
      <c r="L18" s="47">
        <f>K18/D18</f>
        <v>1</v>
      </c>
      <c r="M18" s="47">
        <f>K18/D18</f>
        <v>1</v>
      </c>
      <c r="N18" s="34"/>
    </row>
    <row r="19" spans="2:14" x14ac:dyDescent="0.3">
      <c r="B19" s="192">
        <v>4</v>
      </c>
      <c r="C19" s="15" t="s">
        <v>49</v>
      </c>
      <c r="D19" s="182">
        <v>50000000</v>
      </c>
      <c r="E19" s="172">
        <v>50000000</v>
      </c>
      <c r="F19" s="172">
        <v>0</v>
      </c>
      <c r="G19" s="170">
        <f>E19+F19</f>
        <v>50000000</v>
      </c>
      <c r="H19" s="202">
        <f>G19/D19</f>
        <v>1</v>
      </c>
      <c r="I19" s="170">
        <f>SUM(E19)</f>
        <v>50000000</v>
      </c>
      <c r="J19" s="170">
        <f>F19</f>
        <v>0</v>
      </c>
      <c r="K19" s="170">
        <f>I19+J19</f>
        <v>50000000</v>
      </c>
      <c r="L19" s="201">
        <f>K19/D19</f>
        <v>1</v>
      </c>
      <c r="M19" s="202">
        <f>L19</f>
        <v>1</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62222000</v>
      </c>
      <c r="E21" s="57">
        <f>SUM(E22:E35)</f>
        <v>51213900</v>
      </c>
      <c r="F21" s="57">
        <f>SUM(F22:F35)</f>
        <v>3161500</v>
      </c>
      <c r="G21" s="57">
        <f>SUM(G22:G35)</f>
        <v>54375400</v>
      </c>
      <c r="H21" s="66">
        <f>G21/D21</f>
        <v>0.8738934781909935</v>
      </c>
      <c r="I21" s="57">
        <f>SUM(I22:I35)</f>
        <v>51213900</v>
      </c>
      <c r="J21" s="57">
        <f>SUM(J22:J35)</f>
        <v>3161500</v>
      </c>
      <c r="K21" s="57">
        <f>SUM(K22:K35)</f>
        <v>54375400</v>
      </c>
      <c r="L21" s="29">
        <f>K21/D21</f>
        <v>0.8738934781909935</v>
      </c>
      <c r="M21" s="30">
        <f>K21/D21</f>
        <v>0.8738934781909935</v>
      </c>
      <c r="N21" s="36"/>
    </row>
    <row r="22" spans="2:14" x14ac:dyDescent="0.3">
      <c r="B22" s="180">
        <v>5</v>
      </c>
      <c r="C22" s="17" t="s">
        <v>34</v>
      </c>
      <c r="D22" s="182">
        <v>6234000</v>
      </c>
      <c r="E22" s="172">
        <v>3709000</v>
      </c>
      <c r="F22" s="172">
        <v>1204000</v>
      </c>
      <c r="G22" s="174">
        <f>E22+F22</f>
        <v>4913000</v>
      </c>
      <c r="H22" s="199">
        <f>G22/D22</f>
        <v>0.78809752967597047</v>
      </c>
      <c r="I22" s="189">
        <f>E22</f>
        <v>3709000</v>
      </c>
      <c r="J22" s="189">
        <f>F22</f>
        <v>1204000</v>
      </c>
      <c r="K22" s="189">
        <f>I22+J22</f>
        <v>4913000</v>
      </c>
      <c r="L22" s="197">
        <f>K22/D22</f>
        <v>0.78809752967597047</v>
      </c>
      <c r="M22" s="198">
        <f>L22</f>
        <v>0.78809752967597047</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7096300</v>
      </c>
      <c r="E24" s="188">
        <v>4814200</v>
      </c>
      <c r="F24" s="188">
        <v>733500</v>
      </c>
      <c r="G24" s="174">
        <f>E24+F24</f>
        <v>5547700</v>
      </c>
      <c r="H24" s="199">
        <f>G24/D24</f>
        <v>0.78177360032693088</v>
      </c>
      <c r="I24" s="189">
        <f>E24</f>
        <v>4814200</v>
      </c>
      <c r="J24" s="189">
        <f t="shared" ref="J24" si="1">F24</f>
        <v>733500</v>
      </c>
      <c r="K24" s="189">
        <f t="shared" ref="K24" si="2">I24+J24</f>
        <v>5547700</v>
      </c>
      <c r="L24" s="197">
        <f>K24/D24</f>
        <v>0.78177360032693088</v>
      </c>
      <c r="M24" s="198">
        <f>L24</f>
        <v>0.78177360032693088</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6663500</v>
      </c>
      <c r="E26" s="172">
        <v>4116100</v>
      </c>
      <c r="F26" s="172">
        <v>409000</v>
      </c>
      <c r="G26" s="170">
        <f>E26+F26</f>
        <v>4525100</v>
      </c>
      <c r="H26" s="177">
        <f>G26/D26</f>
        <v>0.67908756659413216</v>
      </c>
      <c r="I26" s="189">
        <f t="shared" ref="I26:J26" si="3">E26</f>
        <v>4116100</v>
      </c>
      <c r="J26" s="189">
        <f t="shared" si="3"/>
        <v>409000</v>
      </c>
      <c r="K26" s="189">
        <f t="shared" ref="K26" si="4">I26+J26</f>
        <v>4525100</v>
      </c>
      <c r="L26" s="175">
        <f>K26/D26</f>
        <v>0.67908756659413216</v>
      </c>
      <c r="M26" s="196">
        <f>L26</f>
        <v>0.67908756659413216</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3348200</v>
      </c>
      <c r="E28" s="188">
        <v>1229200</v>
      </c>
      <c r="F28" s="188">
        <v>700000</v>
      </c>
      <c r="G28" s="174">
        <f>E28+F28</f>
        <v>1929200</v>
      </c>
      <c r="H28" s="177">
        <f>G28/D28</f>
        <v>0.57619019174481811</v>
      </c>
      <c r="I28" s="189">
        <f t="shared" ref="I28:J28" si="5">E28</f>
        <v>1229200</v>
      </c>
      <c r="J28" s="189">
        <f t="shared" si="5"/>
        <v>700000</v>
      </c>
      <c r="K28" s="189">
        <f t="shared" ref="K28" si="6">I28+J28</f>
        <v>1929200</v>
      </c>
      <c r="L28" s="175">
        <f>K28/D28</f>
        <v>0.57619019174481811</v>
      </c>
      <c r="M28" s="185">
        <f>L28</f>
        <v>0.57619019174481811</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805000</v>
      </c>
      <c r="F30" s="188">
        <f>920000-E30</f>
        <v>115000</v>
      </c>
      <c r="G30" s="174">
        <f>E30+F30</f>
        <v>920000</v>
      </c>
      <c r="H30" s="185">
        <f>G30/D30</f>
        <v>0.66666666666666663</v>
      </c>
      <c r="I30" s="189">
        <f t="shared" ref="I30:J30" si="7">E30</f>
        <v>805000</v>
      </c>
      <c r="J30" s="189">
        <f t="shared" si="7"/>
        <v>115000</v>
      </c>
      <c r="K30" s="189">
        <f t="shared" ref="K30" si="8">I30+J30</f>
        <v>920000</v>
      </c>
      <c r="L30" s="184">
        <f>K30/D30</f>
        <v>0.66666666666666663</v>
      </c>
      <c r="M30" s="185">
        <f>L30</f>
        <v>0.66666666666666663</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3000000</v>
      </c>
      <c r="E32" s="188">
        <v>2250000</v>
      </c>
      <c r="F32" s="188">
        <f>2250000-E32</f>
        <v>0</v>
      </c>
      <c r="G32" s="174">
        <f>E32+F32</f>
        <v>2250000</v>
      </c>
      <c r="H32" s="185">
        <f>G32/D32</f>
        <v>0.75</v>
      </c>
      <c r="I32" s="189">
        <f t="shared" ref="I32:J32" si="9">E32</f>
        <v>2250000</v>
      </c>
      <c r="J32" s="189">
        <f t="shared" si="9"/>
        <v>0</v>
      </c>
      <c r="K32" s="189">
        <f t="shared" ref="K32" si="10">I32+J32</f>
        <v>2250000</v>
      </c>
      <c r="L32" s="184">
        <f>K32/D32</f>
        <v>0.75</v>
      </c>
      <c r="M32" s="185">
        <f>L32</f>
        <v>0.75</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34500000</v>
      </c>
      <c r="E34" s="188">
        <v>34290400</v>
      </c>
      <c r="F34" s="188">
        <f>34290400-E34</f>
        <v>0</v>
      </c>
      <c r="G34" s="174">
        <f>E34+F34</f>
        <v>34290400</v>
      </c>
      <c r="H34" s="185">
        <f>G34/D34</f>
        <v>0.99392463768115946</v>
      </c>
      <c r="I34" s="189">
        <f t="shared" ref="I34:J34" si="11">E34</f>
        <v>34290400</v>
      </c>
      <c r="J34" s="189">
        <f t="shared" si="11"/>
        <v>0</v>
      </c>
      <c r="K34" s="189">
        <f t="shared" ref="K34" si="12">I34+J34</f>
        <v>34290400</v>
      </c>
      <c r="L34" s="184">
        <f>K34/D34</f>
        <v>0.99392463768115946</v>
      </c>
      <c r="M34" s="185">
        <f>L34</f>
        <v>0.99392463768115946</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230578307</v>
      </c>
      <c r="F36" s="57">
        <f>SUM(F37:F40)</f>
        <v>37732306</v>
      </c>
      <c r="G36" s="57">
        <f>SUM(G37:G40)</f>
        <v>268310613</v>
      </c>
      <c r="H36" s="29">
        <f>G36/D36</f>
        <v>0.57346031674788411</v>
      </c>
      <c r="I36" s="57">
        <f>SUM(I37:I40)</f>
        <v>230578307</v>
      </c>
      <c r="J36" s="57">
        <f>SUM(J37:J40)</f>
        <v>37732306</v>
      </c>
      <c r="K36" s="57">
        <f>SUM(K37:K40)</f>
        <v>268310613</v>
      </c>
      <c r="L36" s="29">
        <f t="shared" ref="L36:L37" si="13">K36/D36</f>
        <v>0.57346031674788411</v>
      </c>
      <c r="M36" s="29">
        <f>K36/D36</f>
        <v>0.57346031674788411</v>
      </c>
      <c r="N36" s="34"/>
    </row>
    <row r="37" spans="2:14" x14ac:dyDescent="0.3">
      <c r="B37" s="180">
        <v>15</v>
      </c>
      <c r="C37" s="12" t="s">
        <v>39</v>
      </c>
      <c r="D37" s="195">
        <v>46200000</v>
      </c>
      <c r="E37" s="188">
        <v>19738307</v>
      </c>
      <c r="F37" s="188">
        <f>22330613-E37</f>
        <v>2592306</v>
      </c>
      <c r="G37" s="174">
        <f>E37+F37</f>
        <v>22330613</v>
      </c>
      <c r="H37" s="185">
        <f>G37/D37</f>
        <v>0.48334660173160171</v>
      </c>
      <c r="I37" s="174">
        <f>E37</f>
        <v>19738307</v>
      </c>
      <c r="J37" s="188">
        <f>F37</f>
        <v>2592306</v>
      </c>
      <c r="K37" s="174">
        <f>I37+J37</f>
        <v>22330613</v>
      </c>
      <c r="L37" s="184">
        <f t="shared" si="13"/>
        <v>0.48334660173160171</v>
      </c>
      <c r="M37" s="185">
        <f>L37</f>
        <v>0.48334660173160171</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210840000</v>
      </c>
      <c r="F39" s="172">
        <f>245980000-E39</f>
        <v>35140000</v>
      </c>
      <c r="G39" s="170">
        <f>E39+F39</f>
        <v>245980000</v>
      </c>
      <c r="H39" s="177">
        <f>G39/D39</f>
        <v>0.58333333333333337</v>
      </c>
      <c r="I39" s="174">
        <f>E39</f>
        <v>210840000</v>
      </c>
      <c r="J39" s="188">
        <f>F39</f>
        <v>35140000</v>
      </c>
      <c r="K39" s="170">
        <f>I39+J39</f>
        <v>245980000</v>
      </c>
      <c r="L39" s="175">
        <f>K39/D39</f>
        <v>0.58333333333333337</v>
      </c>
      <c r="M39" s="177">
        <f>L39</f>
        <v>0.58333333333333337</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13179500</v>
      </c>
      <c r="F41" s="57">
        <f>SUM(F42:F47)</f>
        <v>3593000</v>
      </c>
      <c r="G41" s="54">
        <f>SUM(G42:G47)</f>
        <v>16772500</v>
      </c>
      <c r="H41" s="29">
        <v>0.1027</v>
      </c>
      <c r="I41" s="54">
        <f>SUM(I42:I47)</f>
        <v>13179500</v>
      </c>
      <c r="J41" s="54">
        <f>SUM(J42:J47)</f>
        <v>3593000</v>
      </c>
      <c r="K41" s="54">
        <f>SUM(K42:K47)</f>
        <v>16772500</v>
      </c>
      <c r="L41" s="29">
        <f>K41/D41</f>
        <v>0.46365790077485952</v>
      </c>
      <c r="M41" s="30">
        <f>K41/D41</f>
        <v>0.46365790077485952</v>
      </c>
      <c r="N41" s="31"/>
    </row>
    <row r="42" spans="2:14" x14ac:dyDescent="0.3">
      <c r="B42" s="180">
        <v>17</v>
      </c>
      <c r="C42" s="12" t="s">
        <v>32</v>
      </c>
      <c r="D42" s="187">
        <v>21430000</v>
      </c>
      <c r="E42" s="188">
        <v>11779500</v>
      </c>
      <c r="F42" s="172">
        <f>13872500-E42</f>
        <v>2093000</v>
      </c>
      <c r="G42" s="174">
        <f>E42+F42</f>
        <v>13872500</v>
      </c>
      <c r="H42" s="185">
        <f>G42/D42</f>
        <v>0.64734017732151194</v>
      </c>
      <c r="I42" s="174">
        <f>E42</f>
        <v>11779500</v>
      </c>
      <c r="J42" s="188">
        <f>F42</f>
        <v>2093000</v>
      </c>
      <c r="K42" s="174">
        <f>I42+J42</f>
        <v>13872500</v>
      </c>
      <c r="L42" s="184">
        <f>K42/D42</f>
        <v>0.64734017732151194</v>
      </c>
      <c r="M42" s="185">
        <f>L42</f>
        <v>0.64734017732151194</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1400000</v>
      </c>
      <c r="F44" s="172">
        <f>2900000-E44</f>
        <v>1500000</v>
      </c>
      <c r="G44" s="170">
        <f>E44+F44</f>
        <v>2900000</v>
      </c>
      <c r="H44" s="177">
        <f>G44/D44</f>
        <v>0.70048309178743962</v>
      </c>
      <c r="I44" s="174">
        <f t="shared" ref="I44:J44" si="14">E44</f>
        <v>1400000</v>
      </c>
      <c r="J44" s="188">
        <f t="shared" si="14"/>
        <v>1500000</v>
      </c>
      <c r="K44" s="170">
        <f>I44+J44</f>
        <v>2900000</v>
      </c>
      <c r="L44" s="175">
        <f>K44/D44</f>
        <v>0.70048309178743962</v>
      </c>
      <c r="M44" s="177">
        <f>L44</f>
        <v>0.70048309178743962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v>0</v>
      </c>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2980000</v>
      </c>
      <c r="E48" s="52">
        <f>SUM(E49)</f>
        <v>1333400</v>
      </c>
      <c r="F48" s="52">
        <f>SUM(F49)</f>
        <v>0</v>
      </c>
      <c r="G48" s="58">
        <f>SUM(G49)</f>
        <v>1333400</v>
      </c>
      <c r="H48" s="44">
        <f>G48/D48</f>
        <v>0.44744966442953021</v>
      </c>
      <c r="I48" s="58">
        <f>SUM(I49)</f>
        <v>1333400</v>
      </c>
      <c r="J48" s="58">
        <f>SUM(J49)</f>
        <v>0</v>
      </c>
      <c r="K48" s="58">
        <f>SUM(K49)</f>
        <v>1333400</v>
      </c>
      <c r="L48" s="44">
        <f>K48/D48</f>
        <v>0.44744966442953021</v>
      </c>
      <c r="M48" s="20">
        <f>K48/D48</f>
        <v>0.44744966442953021</v>
      </c>
      <c r="N48" s="21"/>
    </row>
    <row r="49" spans="2:15" ht="41.25" customHeight="1" x14ac:dyDescent="0.3">
      <c r="B49" s="32"/>
      <c r="C49" s="35" t="s">
        <v>64</v>
      </c>
      <c r="D49" s="57">
        <f>SUM(D50:D53)</f>
        <v>2980000</v>
      </c>
      <c r="E49" s="57">
        <f>SUM(E50:E53)</f>
        <v>1333400</v>
      </c>
      <c r="F49" s="57">
        <f>SUM(F50:F53)</f>
        <v>0</v>
      </c>
      <c r="G49" s="57">
        <f>SUM(G50:G53)</f>
        <v>1333400</v>
      </c>
      <c r="H49" s="48">
        <f>G49/D49</f>
        <v>0.44744966442953021</v>
      </c>
      <c r="I49" s="57">
        <f>SUM(I50:I53)</f>
        <v>1333400</v>
      </c>
      <c r="J49" s="57">
        <f>SUM(J50:J53)</f>
        <v>0</v>
      </c>
      <c r="K49" s="57">
        <f>SUM(K50:K53)</f>
        <v>1333400</v>
      </c>
      <c r="L49" s="47">
        <f>K49/D49</f>
        <v>0.44744966442953021</v>
      </c>
      <c r="M49" s="29">
        <f>K49/D49</f>
        <v>0.44744966442953021</v>
      </c>
      <c r="N49" s="37"/>
    </row>
    <row r="50" spans="2:15" x14ac:dyDescent="0.3">
      <c r="B50" s="192">
        <v>20</v>
      </c>
      <c r="C50" s="17" t="s">
        <v>41</v>
      </c>
      <c r="D50" s="182">
        <v>752000</v>
      </c>
      <c r="E50" s="188"/>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2228000</v>
      </c>
      <c r="E52" s="188">
        <v>1333400</v>
      </c>
      <c r="F52" s="188"/>
      <c r="G52" s="174">
        <f>E52+F52</f>
        <v>1333400</v>
      </c>
      <c r="H52" s="185">
        <f>G52/D52</f>
        <v>0.5984739676840215</v>
      </c>
      <c r="I52" s="170">
        <f>E52</f>
        <v>1333400</v>
      </c>
      <c r="J52" s="170">
        <f>F52</f>
        <v>0</v>
      </c>
      <c r="K52" s="174">
        <f>I52+J52</f>
        <v>1333400</v>
      </c>
      <c r="L52" s="184">
        <f>K52/D52</f>
        <v>0.5984739676840215</v>
      </c>
      <c r="M52" s="185">
        <f>L52</f>
        <v>0.5984739676840215</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13800000</v>
      </c>
      <c r="E54" s="53">
        <f t="shared" ref="E54:M54" si="16">E55</f>
        <v>11000000</v>
      </c>
      <c r="F54" s="53">
        <f t="shared" si="16"/>
        <v>1000000</v>
      </c>
      <c r="G54" s="53">
        <f t="shared" si="16"/>
        <v>12000000</v>
      </c>
      <c r="H54" s="80">
        <f>H55</f>
        <v>0.86956521739130432</v>
      </c>
      <c r="I54" s="53">
        <f t="shared" si="16"/>
        <v>11000000</v>
      </c>
      <c r="J54" s="53">
        <f t="shared" si="16"/>
        <v>1000000</v>
      </c>
      <c r="K54" s="53">
        <f t="shared" si="16"/>
        <v>12000000</v>
      </c>
      <c r="L54" s="80">
        <f>L55</f>
        <v>0.86956521739130432</v>
      </c>
      <c r="M54" s="80">
        <f t="shared" si="16"/>
        <v>0.86956521739130432</v>
      </c>
      <c r="N54" s="24"/>
    </row>
    <row r="55" spans="2:15" ht="17.25" customHeight="1" x14ac:dyDescent="0.3">
      <c r="B55" s="27"/>
      <c r="C55" s="35" t="s">
        <v>65</v>
      </c>
      <c r="D55" s="57">
        <f>SUM(D56:D59)</f>
        <v>13800000</v>
      </c>
      <c r="E55" s="57">
        <f>SUM(E56:E59)</f>
        <v>11000000</v>
      </c>
      <c r="F55" s="57">
        <f>SUM(F56:F59)</f>
        <v>1000000</v>
      </c>
      <c r="G55" s="57">
        <f>SUM(G56:G59)</f>
        <v>12000000</v>
      </c>
      <c r="H55" s="48">
        <f>G55/D55</f>
        <v>0.86956521739130432</v>
      </c>
      <c r="I55" s="57">
        <f>SUM(I56:I59)</f>
        <v>11000000</v>
      </c>
      <c r="J55" s="57">
        <f>SUM(J56:J59)</f>
        <v>1000000</v>
      </c>
      <c r="K55" s="57">
        <f>SUM(K56:K59)</f>
        <v>12000000</v>
      </c>
      <c r="L55" s="47">
        <f>K55/D55</f>
        <v>0.86956521739130432</v>
      </c>
      <c r="M55" s="47">
        <f>SUM(L55)</f>
        <v>0.86956521739130432</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4800000</v>
      </c>
      <c r="E58" s="188">
        <v>2000000</v>
      </c>
      <c r="F58" s="188">
        <v>1000000</v>
      </c>
      <c r="G58" s="174">
        <f>E58+F58</f>
        <v>3000000</v>
      </c>
      <c r="H58" s="185">
        <f>G58/D58</f>
        <v>0.625</v>
      </c>
      <c r="I58" s="189">
        <f>E58</f>
        <v>2000000</v>
      </c>
      <c r="J58" s="188">
        <f>F58</f>
        <v>1000000</v>
      </c>
      <c r="K58" s="174">
        <f>I58+J58</f>
        <v>3000000</v>
      </c>
      <c r="L58" s="184">
        <f>K58/D58</f>
        <v>0.625</v>
      </c>
      <c r="M58" s="185">
        <f>L58</f>
        <v>0.625</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10800000</v>
      </c>
      <c r="F60" s="58">
        <f t="shared" si="17"/>
        <v>1800000</v>
      </c>
      <c r="G60" s="58">
        <f t="shared" si="17"/>
        <v>12600000</v>
      </c>
      <c r="H60" s="46">
        <f>G60/D60</f>
        <v>0.58333333333333337</v>
      </c>
      <c r="I60" s="58">
        <f t="shared" ref="I60:K61" si="18">SUM(I61)</f>
        <v>10800000</v>
      </c>
      <c r="J60" s="58">
        <f t="shared" si="18"/>
        <v>1800000</v>
      </c>
      <c r="K60" s="58">
        <f t="shared" si="18"/>
        <v>12600000</v>
      </c>
      <c r="L60" s="44">
        <f>K60/D60</f>
        <v>0.58333333333333337</v>
      </c>
      <c r="M60" s="23">
        <f>SUM(L60)</f>
        <v>0.58333333333333337</v>
      </c>
      <c r="N60" s="21"/>
    </row>
    <row r="61" spans="2:15" ht="25.5" customHeight="1" x14ac:dyDescent="0.3">
      <c r="B61" s="25"/>
      <c r="C61" s="38" t="s">
        <v>82</v>
      </c>
      <c r="D61" s="59">
        <f t="shared" si="17"/>
        <v>21600000</v>
      </c>
      <c r="E61" s="60">
        <f t="shared" si="17"/>
        <v>10800000</v>
      </c>
      <c r="F61" s="59">
        <f t="shared" si="17"/>
        <v>1800000</v>
      </c>
      <c r="G61" s="57">
        <f t="shared" si="17"/>
        <v>12600000</v>
      </c>
      <c r="H61" s="47">
        <f>G61/D61</f>
        <v>0.58333333333333337</v>
      </c>
      <c r="I61" s="59">
        <f t="shared" si="18"/>
        <v>10800000</v>
      </c>
      <c r="J61" s="59">
        <f t="shared" si="18"/>
        <v>1800000</v>
      </c>
      <c r="K61" s="59">
        <f t="shared" si="18"/>
        <v>12600000</v>
      </c>
      <c r="L61" s="47">
        <f>K61/D61</f>
        <v>0.58333333333333337</v>
      </c>
      <c r="M61" s="30">
        <f>SUM(L61)</f>
        <v>0.58333333333333337</v>
      </c>
      <c r="N61" s="31"/>
    </row>
    <row r="62" spans="2:15" x14ac:dyDescent="0.3">
      <c r="B62" s="180">
        <v>25</v>
      </c>
      <c r="C62" s="12" t="s">
        <v>44</v>
      </c>
      <c r="D62" s="187">
        <v>21600000</v>
      </c>
      <c r="E62" s="188">
        <v>10800000</v>
      </c>
      <c r="F62" s="188">
        <f>12600000-E62</f>
        <v>1800000</v>
      </c>
      <c r="G62" s="170">
        <f>E62+F62</f>
        <v>12600000</v>
      </c>
      <c r="H62" s="185">
        <f>G62/D62</f>
        <v>0.58333333333333337</v>
      </c>
      <c r="I62" s="174">
        <f>E62</f>
        <v>10800000</v>
      </c>
      <c r="J62" s="188">
        <f>F62</f>
        <v>1800000</v>
      </c>
      <c r="K62" s="174">
        <f>I62+J62</f>
        <v>12600000</v>
      </c>
      <c r="L62" s="184">
        <f>K62/D62</f>
        <v>0.58333333333333337</v>
      </c>
      <c r="M62" s="185">
        <f>L62</f>
        <v>0.58333333333333337</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44250000</v>
      </c>
      <c r="E64" s="52">
        <f>SUM(E65)</f>
        <v>0</v>
      </c>
      <c r="F64" s="58">
        <f>SUM(F65)</f>
        <v>43900000</v>
      </c>
      <c r="G64" s="58">
        <f>SUM(G65)</f>
        <v>43900000</v>
      </c>
      <c r="H64" s="46">
        <f>G64/D64</f>
        <v>0.99209039548022604</v>
      </c>
      <c r="I64" s="58">
        <f>SUM(I65)</f>
        <v>0</v>
      </c>
      <c r="J64" s="58">
        <f>SUM(J65)</f>
        <v>43900000</v>
      </c>
      <c r="K64" s="58">
        <f>SUM(K65)</f>
        <v>43900000</v>
      </c>
      <c r="L64" s="46">
        <f>K64/D64</f>
        <v>0.99209039548022604</v>
      </c>
      <c r="M64" s="23">
        <f>SUM(L64)</f>
        <v>0.99209039548022604</v>
      </c>
      <c r="N64" s="21"/>
    </row>
    <row r="65" spans="2:26" ht="30" customHeight="1" x14ac:dyDescent="0.3">
      <c r="B65" s="65"/>
      <c r="C65" s="35" t="s">
        <v>66</v>
      </c>
      <c r="D65" s="57">
        <f>SUM(D66:D69)</f>
        <v>44250000</v>
      </c>
      <c r="E65" s="57">
        <f>SUM(E66:E69)</f>
        <v>0</v>
      </c>
      <c r="F65" s="57">
        <f>SUM(F66:F69)</f>
        <v>43900000</v>
      </c>
      <c r="G65" s="57">
        <f>SUM(G66:G69)</f>
        <v>43900000</v>
      </c>
      <c r="H65" s="47">
        <f>G65/D65</f>
        <v>0.99209039548022604</v>
      </c>
      <c r="I65" s="57">
        <f>SUM(I66:I69)</f>
        <v>0</v>
      </c>
      <c r="J65" s="57">
        <f>SUM(J66:J69)</f>
        <v>43900000</v>
      </c>
      <c r="K65" s="57">
        <f>SUM(K66:K69)</f>
        <v>43900000</v>
      </c>
      <c r="L65" s="47">
        <f>K65/D65</f>
        <v>0.99209039548022604</v>
      </c>
      <c r="M65" s="29">
        <f>SUM(L65)</f>
        <v>0.99209039548022604</v>
      </c>
      <c r="N65" s="37"/>
    </row>
    <row r="66" spans="2:26" x14ac:dyDescent="0.3">
      <c r="B66" s="180">
        <v>26</v>
      </c>
      <c r="C66" s="12" t="s">
        <v>45</v>
      </c>
      <c r="D66" s="187">
        <v>44250000</v>
      </c>
      <c r="E66" s="188"/>
      <c r="F66" s="188">
        <v>43900000</v>
      </c>
      <c r="G66" s="174">
        <f>E66+F66</f>
        <v>43900000</v>
      </c>
      <c r="H66" s="185">
        <f>G66/D66</f>
        <v>0.99209039548022604</v>
      </c>
      <c r="I66" s="174">
        <f>E66</f>
        <v>0</v>
      </c>
      <c r="J66" s="174">
        <f>F66</f>
        <v>43900000</v>
      </c>
      <c r="K66" s="174">
        <f>I66+J66</f>
        <v>43900000</v>
      </c>
      <c r="L66" s="184">
        <f>K66/D66</f>
        <v>0.99209039548022604</v>
      </c>
      <c r="M66" s="185">
        <f>L66</f>
        <v>0.99209039548022604</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0</v>
      </c>
      <c r="E68" s="188">
        <v>0</v>
      </c>
      <c r="F68" s="188">
        <v>0</v>
      </c>
      <c r="G68" s="174">
        <f>E68+F68</f>
        <v>0</v>
      </c>
      <c r="H68" s="185">
        <v>0</v>
      </c>
      <c r="I68" s="174">
        <f>E68</f>
        <v>0</v>
      </c>
      <c r="J68" s="174">
        <f>F68</f>
        <v>0</v>
      </c>
      <c r="K68" s="174">
        <f>I68+J68</f>
        <v>0</v>
      </c>
      <c r="L68" s="184">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1200000</v>
      </c>
      <c r="E70" s="52">
        <f t="shared" si="19"/>
        <v>450000</v>
      </c>
      <c r="F70" s="52">
        <f t="shared" si="19"/>
        <v>0</v>
      </c>
      <c r="G70" s="52">
        <f t="shared" si="19"/>
        <v>450000</v>
      </c>
      <c r="H70" s="23">
        <f>G70/D70</f>
        <v>0.375</v>
      </c>
      <c r="I70" s="52">
        <f t="shared" ref="I70:K71" si="20">SUM(I71)</f>
        <v>450000</v>
      </c>
      <c r="J70" s="52">
        <f t="shared" si="20"/>
        <v>0</v>
      </c>
      <c r="K70" s="52">
        <f t="shared" si="20"/>
        <v>450000</v>
      </c>
      <c r="L70" s="44">
        <f>K70/D70</f>
        <v>0.375</v>
      </c>
      <c r="M70" s="68">
        <f>SUM(L70)</f>
        <v>0.375</v>
      </c>
      <c r="N70" s="43"/>
    </row>
    <row r="71" spans="2:26" ht="38.25" customHeight="1" x14ac:dyDescent="0.3">
      <c r="B71" s="25"/>
      <c r="C71" s="39" t="s">
        <v>67</v>
      </c>
      <c r="D71" s="60">
        <f t="shared" si="19"/>
        <v>1200000</v>
      </c>
      <c r="E71" s="60">
        <f t="shared" si="19"/>
        <v>450000</v>
      </c>
      <c r="F71" s="60">
        <f t="shared" si="19"/>
        <v>0</v>
      </c>
      <c r="G71" s="60">
        <f t="shared" si="19"/>
        <v>450000</v>
      </c>
      <c r="H71" s="29">
        <f>G71/D71</f>
        <v>0.375</v>
      </c>
      <c r="I71" s="60">
        <f t="shared" si="20"/>
        <v>450000</v>
      </c>
      <c r="J71" s="60">
        <f t="shared" si="20"/>
        <v>0</v>
      </c>
      <c r="K71" s="60">
        <f t="shared" si="20"/>
        <v>450000</v>
      </c>
      <c r="L71" s="47">
        <f>K71/D71</f>
        <v>0.375</v>
      </c>
      <c r="M71" s="29">
        <f>SUM(L71)</f>
        <v>0.375</v>
      </c>
      <c r="N71" s="40"/>
    </row>
    <row r="72" spans="2:26" x14ac:dyDescent="0.3">
      <c r="B72" s="180">
        <v>28</v>
      </c>
      <c r="C72" s="17" t="s">
        <v>47</v>
      </c>
      <c r="D72" s="182">
        <v>1200000</v>
      </c>
      <c r="E72" s="172">
        <v>450000</v>
      </c>
      <c r="F72" s="172"/>
      <c r="G72" s="174">
        <f>E72+F72</f>
        <v>450000</v>
      </c>
      <c r="H72" s="177">
        <f>G72/D72</f>
        <v>0.375</v>
      </c>
      <c r="I72" s="170">
        <f>E72</f>
        <v>450000</v>
      </c>
      <c r="J72" s="172">
        <f>F72</f>
        <v>0</v>
      </c>
      <c r="K72" s="174">
        <f>I72+J72</f>
        <v>450000</v>
      </c>
      <c r="L72" s="175">
        <f>K72/D72</f>
        <v>0.375</v>
      </c>
      <c r="M72" s="177">
        <f>L72</f>
        <v>0.375</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2768176092</v>
      </c>
      <c r="E74" s="165">
        <f>E9+E48+E54+E60+E64+E70</f>
        <v>1491605151</v>
      </c>
      <c r="F74" s="165">
        <f>F9+F48+F54+F60+F64+F70</f>
        <v>217643569</v>
      </c>
      <c r="G74" s="159">
        <f>G9+G48+G54+G60+G64+G70</f>
        <v>1709248720</v>
      </c>
      <c r="H74" s="157">
        <f>G74/D74</f>
        <v>0.61746386905793704</v>
      </c>
      <c r="I74" s="159">
        <f>I9+I48+I54+I60+I64+I70</f>
        <v>1491605151</v>
      </c>
      <c r="J74" s="159">
        <f>J9+J48+J54+J60+J64+J70</f>
        <v>217643569</v>
      </c>
      <c r="K74" s="159">
        <f>K9+K48+K54+K60+K64+K70</f>
        <v>1709248720</v>
      </c>
      <c r="L74" s="157">
        <f>K74/D74</f>
        <v>0.61746386905793704</v>
      </c>
      <c r="M74" s="157">
        <f>K74/D74</f>
        <v>0.61746386905793704</v>
      </c>
      <c r="N74" s="153"/>
    </row>
    <row r="75" spans="2:26" ht="15" thickBot="1" x14ac:dyDescent="0.35">
      <c r="B75" s="162"/>
      <c r="C75" s="164"/>
      <c r="D75" s="160"/>
      <c r="E75" s="166"/>
      <c r="F75" s="166"/>
      <c r="G75" s="160"/>
      <c r="H75" s="158"/>
      <c r="I75" s="160"/>
      <c r="J75" s="160"/>
      <c r="K75" s="160"/>
      <c r="L75" s="158"/>
      <c r="M75" s="158"/>
      <c r="N75" s="154"/>
    </row>
    <row r="76" spans="2:26" x14ac:dyDescent="0.3">
      <c r="B76" s="150"/>
      <c r="D76" s="2"/>
      <c r="E76" s="69"/>
      <c r="F76" s="7"/>
      <c r="G76" s="61"/>
      <c r="L76" s="150"/>
    </row>
    <row r="77" spans="2:26" x14ac:dyDescent="0.3">
      <c r="D77" s="4"/>
      <c r="E77" s="62"/>
      <c r="F77" s="63"/>
      <c r="G77" s="45"/>
      <c r="J77" s="155" t="s">
        <v>140</v>
      </c>
      <c r="K77" s="155"/>
      <c r="L77" s="155"/>
      <c r="M77" s="155"/>
      <c r="N77" s="149"/>
    </row>
    <row r="78" spans="2:26" x14ac:dyDescent="0.3">
      <c r="D78" s="4"/>
      <c r="E78" s="62"/>
      <c r="G78" s="61"/>
      <c r="J78" s="155" t="s">
        <v>56</v>
      </c>
      <c r="K78" s="155"/>
      <c r="L78" s="155"/>
      <c r="M78" s="155"/>
      <c r="N78" s="149"/>
    </row>
    <row r="79" spans="2:26" x14ac:dyDescent="0.3">
      <c r="D79" s="4"/>
      <c r="E79" s="62"/>
      <c r="K79" s="149"/>
      <c r="L79" s="149"/>
      <c r="M79" s="149"/>
      <c r="N79" s="149"/>
    </row>
    <row r="80" spans="2:26" x14ac:dyDescent="0.3">
      <c r="D80" s="4"/>
      <c r="E80" s="70"/>
      <c r="F80" s="62"/>
      <c r="G80" s="45"/>
      <c r="K80" s="149"/>
      <c r="L80" s="149"/>
      <c r="M80" s="149"/>
      <c r="N80" s="149"/>
    </row>
    <row r="81" spans="2:14" x14ac:dyDescent="0.3">
      <c r="D81" s="78"/>
      <c r="K81" s="149"/>
      <c r="L81" s="149"/>
      <c r="M81" s="149"/>
      <c r="N81" s="149"/>
    </row>
    <row r="82" spans="2:14" x14ac:dyDescent="0.3">
      <c r="D82" s="4"/>
      <c r="E82" s="63"/>
      <c r="J82" s="156" t="s">
        <v>59</v>
      </c>
      <c r="K82" s="156"/>
      <c r="L82" s="156"/>
      <c r="M82" s="156"/>
      <c r="N82" s="149"/>
    </row>
    <row r="83" spans="2:14" ht="13.8" customHeight="1" x14ac:dyDescent="0.3">
      <c r="D83" s="78"/>
      <c r="J83" s="155" t="s">
        <v>79</v>
      </c>
      <c r="K83" s="155"/>
      <c r="L83" s="155"/>
      <c r="M83" s="155"/>
      <c r="N83" s="149"/>
    </row>
    <row r="84" spans="2:14" x14ac:dyDescent="0.3">
      <c r="D84" s="4"/>
      <c r="J84" s="155" t="s">
        <v>60</v>
      </c>
      <c r="K84" s="155"/>
      <c r="L84" s="155"/>
      <c r="M84" s="155"/>
      <c r="N84" s="5"/>
    </row>
    <row r="85" spans="2:14" x14ac:dyDescent="0.3">
      <c r="B85" s="150"/>
      <c r="D85" s="2"/>
      <c r="E85" s="71"/>
      <c r="L85" s="150"/>
    </row>
    <row r="86" spans="2:14" x14ac:dyDescent="0.3">
      <c r="B86" s="150"/>
      <c r="D86" s="2"/>
      <c r="E86" s="71"/>
      <c r="L86" s="150"/>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66" orientation="landscape" horizontalDpi="300" verticalDpi="300" r:id="rId1"/>
  <rowBreaks count="2" manualBreakCount="2">
    <brk id="35" max="14" man="1"/>
    <brk id="59"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CDD2-0ED8-4A9B-AD88-AD566A4132D0}">
  <dimension ref="A1:Z95"/>
  <sheetViews>
    <sheetView view="pageBreakPreview" zoomScale="78" zoomScaleNormal="75" zoomScaleSheetLayoutView="78" workbookViewId="0">
      <pane xSplit="3" ySplit="2" topLeftCell="D3" activePane="bottomRight" state="frozen"/>
      <selection pane="topRight" activeCell="C1" sqref="C1"/>
      <selection pane="bottomLeft" activeCell="A3" sqref="A3"/>
      <selection pane="bottomRight" activeCell="F79" sqref="F79"/>
    </sheetView>
  </sheetViews>
  <sheetFormatPr defaultRowHeight="14.4" x14ac:dyDescent="0.3"/>
  <cols>
    <col min="1" max="1" width="5.2187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5.6640625"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129"/>
      <c r="H3" s="129"/>
      <c r="I3" s="129"/>
      <c r="J3" s="129"/>
      <c r="K3" s="129"/>
      <c r="L3" s="129"/>
      <c r="M3" s="129"/>
      <c r="N3" s="129"/>
    </row>
    <row r="4" spans="1:19" x14ac:dyDescent="0.3">
      <c r="B4" s="213" t="s">
        <v>139</v>
      </c>
      <c r="C4" s="213"/>
      <c r="D4" s="1"/>
      <c r="E4" s="6"/>
      <c r="F4" s="6"/>
      <c r="G4" s="3"/>
      <c r="H4" s="129"/>
      <c r="I4" s="129"/>
      <c r="J4" s="129"/>
      <c r="K4" s="129"/>
      <c r="L4" s="129"/>
      <c r="M4" s="129"/>
      <c r="N4" s="129"/>
    </row>
    <row r="5" spans="1:19" x14ac:dyDescent="0.3">
      <c r="B5" s="213"/>
      <c r="C5" s="213"/>
      <c r="D5" s="1"/>
      <c r="E5" s="6"/>
      <c r="F5" s="6"/>
      <c r="G5" s="3"/>
      <c r="H5" s="129"/>
      <c r="I5" s="129"/>
      <c r="J5" s="129"/>
      <c r="K5" s="129"/>
      <c r="L5" s="129"/>
      <c r="M5" s="129"/>
      <c r="N5" s="129"/>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2684346092</v>
      </c>
      <c r="E9" s="51">
        <f>I9</f>
        <v>1295645596</v>
      </c>
      <c r="F9" s="51">
        <f>F10+F15+F18+F21+F36+F41</f>
        <v>172376155</v>
      </c>
      <c r="G9" s="51">
        <f>G10+G15+G18+G21+G36+G41</f>
        <v>1468021751</v>
      </c>
      <c r="H9" s="50">
        <f>G9/D9</f>
        <v>0.54688244387527363</v>
      </c>
      <c r="I9" s="51">
        <f>I10+I15+I18+I21+I36+I41</f>
        <v>1295645596</v>
      </c>
      <c r="J9" s="51">
        <f t="shared" ref="J9:K9" si="0">J10+J15+J18+J21+J36+J41</f>
        <v>172376155</v>
      </c>
      <c r="K9" s="51">
        <f t="shared" si="0"/>
        <v>1468021751</v>
      </c>
      <c r="L9" s="50">
        <f>K9/D9</f>
        <v>0.54688244387527363</v>
      </c>
      <c r="M9" s="72">
        <f>K9/D9</f>
        <v>0.54688244387527363</v>
      </c>
      <c r="N9" s="41"/>
      <c r="O9"/>
      <c r="P9"/>
      <c r="Q9"/>
      <c r="R9"/>
      <c r="S9"/>
    </row>
    <row r="10" spans="1:19" ht="30" customHeight="1" x14ac:dyDescent="0.3">
      <c r="B10" s="25"/>
      <c r="C10" s="26" t="s">
        <v>61</v>
      </c>
      <c r="D10" s="54">
        <f>SUM(D11:D14)</f>
        <v>6915400</v>
      </c>
      <c r="E10" s="54">
        <f>SUM(E11:E14)</f>
        <v>751750</v>
      </c>
      <c r="F10" s="54">
        <f>SUM(F11:F14)</f>
        <v>0</v>
      </c>
      <c r="G10" s="54">
        <f>SUM(G11:G14)</f>
        <v>751750</v>
      </c>
      <c r="H10" s="29">
        <f>G10/D10</f>
        <v>0.10870665471267027</v>
      </c>
      <c r="I10" s="54">
        <f>SUM(I11:I14)</f>
        <v>751750</v>
      </c>
      <c r="J10" s="54">
        <f>SUM(J11:J14)</f>
        <v>0</v>
      </c>
      <c r="K10" s="54">
        <f>SUM(K11:K14)</f>
        <v>751750</v>
      </c>
      <c r="L10" s="47">
        <f>K10/D10</f>
        <v>0.10870665471267027</v>
      </c>
      <c r="M10" s="67">
        <f>K10/D10</f>
        <v>0.10870665471267027</v>
      </c>
      <c r="N10" s="28"/>
    </row>
    <row r="11" spans="1:19" x14ac:dyDescent="0.3">
      <c r="B11" s="180">
        <v>1</v>
      </c>
      <c r="C11" s="12" t="s">
        <v>30</v>
      </c>
      <c r="D11" s="195">
        <v>5093700</v>
      </c>
      <c r="E11" s="188">
        <v>751750</v>
      </c>
      <c r="F11" s="188"/>
      <c r="G11" s="174">
        <f>E11+F11</f>
        <v>751750</v>
      </c>
      <c r="H11" s="177">
        <f>G11/D11</f>
        <v>0.14758427076584801</v>
      </c>
      <c r="I11" s="174">
        <f>E11</f>
        <v>751750</v>
      </c>
      <c r="J11" s="174">
        <f>F11</f>
        <v>0</v>
      </c>
      <c r="K11" s="174">
        <f>I11+J11</f>
        <v>751750</v>
      </c>
      <c r="L11" s="175">
        <f>K11/D11</f>
        <v>0.14758427076584801</v>
      </c>
      <c r="M11" s="185">
        <f>L11</f>
        <v>0.14758427076584801</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1821700</v>
      </c>
      <c r="E13" s="188"/>
      <c r="F13" s="206"/>
      <c r="G13" s="174">
        <f>E13+F13</f>
        <v>0</v>
      </c>
      <c r="H13" s="177">
        <f>G13/D13</f>
        <v>0</v>
      </c>
      <c r="I13" s="174">
        <f>E13</f>
        <v>0</v>
      </c>
      <c r="J13" s="174">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989394869</v>
      </c>
      <c r="F15" s="55">
        <f>SUM(F16)</f>
        <v>132903425</v>
      </c>
      <c r="G15" s="55">
        <f>SUM(G16)</f>
        <v>1122298294</v>
      </c>
      <c r="H15" s="66">
        <f>G15/D15</f>
        <v>0.54449986781970283</v>
      </c>
      <c r="I15" s="56">
        <f>SUM(I16)</f>
        <v>989394869</v>
      </c>
      <c r="J15" s="56">
        <f>SUM(J16)</f>
        <v>132903425</v>
      </c>
      <c r="K15" s="56">
        <f>SUM(K16)</f>
        <v>1122298294</v>
      </c>
      <c r="L15" s="29">
        <f>K15/D15</f>
        <v>0.54449986781970283</v>
      </c>
      <c r="M15" s="30">
        <f>K15/D15</f>
        <v>0.54449986781970283</v>
      </c>
      <c r="N15" s="31"/>
    </row>
    <row r="16" spans="1:19" x14ac:dyDescent="0.3">
      <c r="B16" s="180">
        <v>3</v>
      </c>
      <c r="C16" s="12" t="s">
        <v>33</v>
      </c>
      <c r="D16" s="187">
        <v>2061154392</v>
      </c>
      <c r="E16" s="203">
        <v>989394869</v>
      </c>
      <c r="F16" s="203">
        <f>1122298294-E16</f>
        <v>132903425</v>
      </c>
      <c r="G16" s="174">
        <f>E16+F16</f>
        <v>1122298294</v>
      </c>
      <c r="H16" s="177">
        <f>G16/D16</f>
        <v>0.54449986781970283</v>
      </c>
      <c r="I16" s="170">
        <f>E16</f>
        <v>989394869</v>
      </c>
      <c r="J16" s="170">
        <f>F16</f>
        <v>132903425</v>
      </c>
      <c r="K16" s="170">
        <f>I16+J16</f>
        <v>1122298294</v>
      </c>
      <c r="L16" s="175">
        <f>K16/D16</f>
        <v>0.54449986781970283</v>
      </c>
      <c r="M16" s="185">
        <f>L16</f>
        <v>0.54449986781970283</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50000000</v>
      </c>
      <c r="F18" s="57">
        <f>SUM(F19)</f>
        <v>0</v>
      </c>
      <c r="G18" s="57">
        <f>SUM(G19)</f>
        <v>50000000</v>
      </c>
      <c r="H18" s="48">
        <f>G18/D18</f>
        <v>1</v>
      </c>
      <c r="I18" s="57">
        <f>SUM(I19)</f>
        <v>50000000</v>
      </c>
      <c r="J18" s="57">
        <f>SUM(J19)</f>
        <v>0</v>
      </c>
      <c r="K18" s="57">
        <f>SUM(K19)</f>
        <v>50000000</v>
      </c>
      <c r="L18" s="47">
        <f>K18/D18</f>
        <v>1</v>
      </c>
      <c r="M18" s="47">
        <f>K18/D18</f>
        <v>1</v>
      </c>
      <c r="N18" s="34"/>
    </row>
    <row r="19" spans="2:14" x14ac:dyDescent="0.3">
      <c r="B19" s="192">
        <v>4</v>
      </c>
      <c r="C19" s="15" t="s">
        <v>49</v>
      </c>
      <c r="D19" s="182">
        <v>50000000</v>
      </c>
      <c r="E19" s="172">
        <v>50000000</v>
      </c>
      <c r="F19" s="172">
        <v>0</v>
      </c>
      <c r="G19" s="170">
        <f>E19+F19</f>
        <v>50000000</v>
      </c>
      <c r="H19" s="202">
        <f>G19/D19</f>
        <v>1</v>
      </c>
      <c r="I19" s="170">
        <f>SUM(E19)</f>
        <v>50000000</v>
      </c>
      <c r="J19" s="170">
        <f>F19</f>
        <v>0</v>
      </c>
      <c r="K19" s="170">
        <f>I19+J19</f>
        <v>50000000</v>
      </c>
      <c r="L19" s="201">
        <f>K19/D19</f>
        <v>1</v>
      </c>
      <c r="M19" s="202">
        <f>L19</f>
        <v>1</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62222000</v>
      </c>
      <c r="E21" s="57">
        <f>SUM(E22:E35)</f>
        <v>51098900</v>
      </c>
      <c r="F21" s="57">
        <f>SUM(F22:F35)</f>
        <v>115000</v>
      </c>
      <c r="G21" s="57">
        <f>SUM(G22:G35)</f>
        <v>51213900</v>
      </c>
      <c r="H21" s="66">
        <f>G21/D21</f>
        <v>0.82308347529812609</v>
      </c>
      <c r="I21" s="57">
        <f>SUM(I22:I35)</f>
        <v>51098900</v>
      </c>
      <c r="J21" s="57">
        <f>SUM(J22:J35)</f>
        <v>115000</v>
      </c>
      <c r="K21" s="57">
        <f>SUM(K22:K35)</f>
        <v>51213900</v>
      </c>
      <c r="L21" s="29">
        <f>K21/D21</f>
        <v>0.82308347529812609</v>
      </c>
      <c r="M21" s="30">
        <f>K21/D21</f>
        <v>0.82308347529812609</v>
      </c>
      <c r="N21" s="36"/>
    </row>
    <row r="22" spans="2:14" x14ac:dyDescent="0.3">
      <c r="B22" s="180">
        <v>5</v>
      </c>
      <c r="C22" s="17" t="s">
        <v>34</v>
      </c>
      <c r="D22" s="182">
        <v>6234000</v>
      </c>
      <c r="E22" s="172">
        <v>3709000</v>
      </c>
      <c r="F22" s="172"/>
      <c r="G22" s="174">
        <f>E22+F22</f>
        <v>3709000</v>
      </c>
      <c r="H22" s="199">
        <f>G22/D22</f>
        <v>0.59496310555020848</v>
      </c>
      <c r="I22" s="189">
        <f>E22</f>
        <v>3709000</v>
      </c>
      <c r="J22" s="189">
        <f>F22</f>
        <v>0</v>
      </c>
      <c r="K22" s="189">
        <f>I22+J22</f>
        <v>3709000</v>
      </c>
      <c r="L22" s="197">
        <f>K22/D22</f>
        <v>0.59496310555020848</v>
      </c>
      <c r="M22" s="198">
        <f>L22</f>
        <v>0.59496310555020848</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7096300</v>
      </c>
      <c r="E24" s="188">
        <v>4814200</v>
      </c>
      <c r="F24" s="188"/>
      <c r="G24" s="174">
        <f>E24+F24</f>
        <v>4814200</v>
      </c>
      <c r="H24" s="199">
        <f>G24/D24</f>
        <v>0.67840987556895849</v>
      </c>
      <c r="I24" s="189">
        <f>E24</f>
        <v>4814200</v>
      </c>
      <c r="J24" s="189">
        <f t="shared" ref="J24" si="1">F24</f>
        <v>0</v>
      </c>
      <c r="K24" s="189">
        <f t="shared" ref="K24" si="2">I24+J24</f>
        <v>4814200</v>
      </c>
      <c r="L24" s="197">
        <f>K24/D24</f>
        <v>0.67840987556895849</v>
      </c>
      <c r="M24" s="198">
        <f>L24</f>
        <v>0.67840987556895849</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6663500</v>
      </c>
      <c r="E26" s="172">
        <v>4116100</v>
      </c>
      <c r="F26" s="172"/>
      <c r="G26" s="170">
        <f>E26+F26</f>
        <v>4116100</v>
      </c>
      <c r="H26" s="177">
        <f>G26/D26</f>
        <v>0.6177084114954603</v>
      </c>
      <c r="I26" s="189">
        <f t="shared" ref="I26:J26" si="3">E26</f>
        <v>4116100</v>
      </c>
      <c r="J26" s="189">
        <f t="shared" si="3"/>
        <v>0</v>
      </c>
      <c r="K26" s="189">
        <f t="shared" ref="K26" si="4">I26+J26</f>
        <v>4116100</v>
      </c>
      <c r="L26" s="175">
        <f>K26/D26</f>
        <v>0.6177084114954603</v>
      </c>
      <c r="M26" s="196">
        <f>L26</f>
        <v>0.6177084114954603</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3348200</v>
      </c>
      <c r="E28" s="188">
        <v>1229200</v>
      </c>
      <c r="F28" s="188"/>
      <c r="G28" s="174">
        <f>E28+F28</f>
        <v>1229200</v>
      </c>
      <c r="H28" s="177">
        <f>G28/D28</f>
        <v>0.36712263305656773</v>
      </c>
      <c r="I28" s="189">
        <f t="shared" ref="I28:J28" si="5">E28</f>
        <v>1229200</v>
      </c>
      <c r="J28" s="189">
        <f t="shared" si="5"/>
        <v>0</v>
      </c>
      <c r="K28" s="189">
        <f t="shared" ref="K28" si="6">I28+J28</f>
        <v>1229200</v>
      </c>
      <c r="L28" s="175">
        <f>K28/D28</f>
        <v>0.36712263305656773</v>
      </c>
      <c r="M28" s="185">
        <f>L28</f>
        <v>0.36712263305656773</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690000</v>
      </c>
      <c r="F30" s="188">
        <f>805000-E30</f>
        <v>115000</v>
      </c>
      <c r="G30" s="174">
        <f>E30+F30</f>
        <v>805000</v>
      </c>
      <c r="H30" s="185">
        <f>G30/D30</f>
        <v>0.58333333333333337</v>
      </c>
      <c r="I30" s="189">
        <f t="shared" ref="I30:J30" si="7">E30</f>
        <v>690000</v>
      </c>
      <c r="J30" s="189">
        <f t="shared" si="7"/>
        <v>115000</v>
      </c>
      <c r="K30" s="189">
        <f t="shared" ref="K30" si="8">I30+J30</f>
        <v>805000</v>
      </c>
      <c r="L30" s="184">
        <f>K30/D30</f>
        <v>0.58333333333333337</v>
      </c>
      <c r="M30" s="185">
        <f>L30</f>
        <v>0.58333333333333337</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3000000</v>
      </c>
      <c r="E32" s="188">
        <v>2250000</v>
      </c>
      <c r="F32" s="188">
        <f>2250000-E32</f>
        <v>0</v>
      </c>
      <c r="G32" s="174">
        <f>E32+F32</f>
        <v>2250000</v>
      </c>
      <c r="H32" s="185">
        <f>G32/D32</f>
        <v>0.75</v>
      </c>
      <c r="I32" s="189">
        <f t="shared" ref="I32:J32" si="9">E32</f>
        <v>2250000</v>
      </c>
      <c r="J32" s="189">
        <f t="shared" si="9"/>
        <v>0</v>
      </c>
      <c r="K32" s="189">
        <f t="shared" ref="K32" si="10">I32+J32</f>
        <v>2250000</v>
      </c>
      <c r="L32" s="184">
        <f>K32/D32</f>
        <v>0.75</v>
      </c>
      <c r="M32" s="185">
        <f>L32</f>
        <v>0.75</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34500000</v>
      </c>
      <c r="E34" s="188">
        <v>34290400</v>
      </c>
      <c r="F34" s="188">
        <f>34290400-E34</f>
        <v>0</v>
      </c>
      <c r="G34" s="174">
        <f>E34+F34</f>
        <v>34290400</v>
      </c>
      <c r="H34" s="185">
        <f>G34/D34</f>
        <v>0.99392463768115946</v>
      </c>
      <c r="I34" s="189">
        <f t="shared" ref="I34:J34" si="11">E34</f>
        <v>34290400</v>
      </c>
      <c r="J34" s="189">
        <f t="shared" si="11"/>
        <v>0</v>
      </c>
      <c r="K34" s="189">
        <f t="shared" ref="K34" si="12">I34+J34</f>
        <v>34290400</v>
      </c>
      <c r="L34" s="184">
        <f>K34/D34</f>
        <v>0.99392463768115946</v>
      </c>
      <c r="M34" s="185">
        <f>L34</f>
        <v>0.99392463768115946</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192936077</v>
      </c>
      <c r="F36" s="57">
        <f>SUM(F37:F40)</f>
        <v>37642230</v>
      </c>
      <c r="G36" s="57">
        <f>SUM(G37:G40)</f>
        <v>230578307</v>
      </c>
      <c r="H36" s="29">
        <f>G36/D36</f>
        <v>0.49281505300504402</v>
      </c>
      <c r="I36" s="57">
        <f>SUM(I37:I40)</f>
        <v>192936077</v>
      </c>
      <c r="J36" s="57">
        <f>SUM(J37:J40)</f>
        <v>37642230</v>
      </c>
      <c r="K36" s="57">
        <f>SUM(K37:K40)</f>
        <v>230578307</v>
      </c>
      <c r="L36" s="29">
        <f t="shared" ref="L36:L37" si="13">K36/D36</f>
        <v>0.49281505300504402</v>
      </c>
      <c r="M36" s="29">
        <f>K36/D36</f>
        <v>0.49281505300504402</v>
      </c>
      <c r="N36" s="34"/>
    </row>
    <row r="37" spans="2:14" x14ac:dyDescent="0.3">
      <c r="B37" s="180">
        <v>15</v>
      </c>
      <c r="C37" s="12" t="s">
        <v>39</v>
      </c>
      <c r="D37" s="195">
        <v>46200000</v>
      </c>
      <c r="E37" s="188">
        <v>17236077</v>
      </c>
      <c r="F37" s="188">
        <f>19738307-E37</f>
        <v>2502230</v>
      </c>
      <c r="G37" s="174">
        <f>E37+F37</f>
        <v>19738307</v>
      </c>
      <c r="H37" s="185">
        <f>G37/D37</f>
        <v>0.42723608225108223</v>
      </c>
      <c r="I37" s="174">
        <f>E37</f>
        <v>17236077</v>
      </c>
      <c r="J37" s="188">
        <f>F37</f>
        <v>2502230</v>
      </c>
      <c r="K37" s="174">
        <f>I37+J37</f>
        <v>19738307</v>
      </c>
      <c r="L37" s="184">
        <f t="shared" si="13"/>
        <v>0.42723608225108223</v>
      </c>
      <c r="M37" s="185">
        <f>L37</f>
        <v>0.42723608225108223</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175700000</v>
      </c>
      <c r="F39" s="172">
        <f>210840000-E39</f>
        <v>35140000</v>
      </c>
      <c r="G39" s="170">
        <f>E39+F39</f>
        <v>210840000</v>
      </c>
      <c r="H39" s="177">
        <f>G39/D39</f>
        <v>0.5</v>
      </c>
      <c r="I39" s="174">
        <f>E39</f>
        <v>175700000</v>
      </c>
      <c r="J39" s="188">
        <f>F39</f>
        <v>35140000</v>
      </c>
      <c r="K39" s="170">
        <f>I39+J39</f>
        <v>210840000</v>
      </c>
      <c r="L39" s="175">
        <f>K39/D39</f>
        <v>0.5</v>
      </c>
      <c r="M39" s="177">
        <f>L39</f>
        <v>0.5</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11464000</v>
      </c>
      <c r="F41" s="57">
        <f>SUM(F42:F47)</f>
        <v>1715500</v>
      </c>
      <c r="G41" s="54">
        <f>SUM(G42:G47)</f>
        <v>13179500</v>
      </c>
      <c r="H41" s="29">
        <v>0.1027</v>
      </c>
      <c r="I41" s="54">
        <f>SUM(I42:I47)</f>
        <v>11464000</v>
      </c>
      <c r="J41" s="54">
        <f>SUM(J42:J47)</f>
        <v>1715500</v>
      </c>
      <c r="K41" s="54">
        <f>SUM(K42:K47)</f>
        <v>13179500</v>
      </c>
      <c r="L41" s="29">
        <f>K41/D41</f>
        <v>0.36433324210834767</v>
      </c>
      <c r="M41" s="30">
        <f>K41/D41</f>
        <v>0.36433324210834767</v>
      </c>
      <c r="N41" s="31"/>
    </row>
    <row r="42" spans="2:14" x14ac:dyDescent="0.3">
      <c r="B42" s="180">
        <v>17</v>
      </c>
      <c r="C42" s="12" t="s">
        <v>32</v>
      </c>
      <c r="D42" s="187">
        <v>21430000</v>
      </c>
      <c r="E42" s="188">
        <v>10064000</v>
      </c>
      <c r="F42" s="172">
        <f>11779500-E42</f>
        <v>1715500</v>
      </c>
      <c r="G42" s="174">
        <f>E42+F42</f>
        <v>11779500</v>
      </c>
      <c r="H42" s="185">
        <f>G42/D42</f>
        <v>0.54967335510965931</v>
      </c>
      <c r="I42" s="174">
        <f>E42</f>
        <v>10064000</v>
      </c>
      <c r="J42" s="188">
        <f>F42</f>
        <v>1715500</v>
      </c>
      <c r="K42" s="174">
        <f>I42+J42</f>
        <v>11779500</v>
      </c>
      <c r="L42" s="184">
        <f>K42/D42</f>
        <v>0.54967335510965931</v>
      </c>
      <c r="M42" s="185">
        <f>L42</f>
        <v>0.54967335510965931</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1400000</v>
      </c>
      <c r="F44" s="172">
        <f>1400000-E44</f>
        <v>0</v>
      </c>
      <c r="G44" s="170">
        <f>E44+F44</f>
        <v>1400000</v>
      </c>
      <c r="H44" s="177">
        <f>G44/D44</f>
        <v>0.33816425120772947</v>
      </c>
      <c r="I44" s="174">
        <f t="shared" ref="I44:J44" si="14">E44</f>
        <v>1400000</v>
      </c>
      <c r="J44" s="188">
        <f t="shared" si="14"/>
        <v>0</v>
      </c>
      <c r="K44" s="170">
        <f>I44+J44</f>
        <v>1400000</v>
      </c>
      <c r="L44" s="175">
        <f>K44/D44</f>
        <v>0.33816425120772947</v>
      </c>
      <c r="M44" s="177">
        <f>L44</f>
        <v>0.33816425120772947</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v>0</v>
      </c>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2980000</v>
      </c>
      <c r="E48" s="52">
        <f>SUM(E49)</f>
        <v>1333400</v>
      </c>
      <c r="F48" s="52">
        <f>SUM(F49)</f>
        <v>0</v>
      </c>
      <c r="G48" s="58">
        <f>SUM(G49)</f>
        <v>1333400</v>
      </c>
      <c r="H48" s="44">
        <f>G48/D48</f>
        <v>0.44744966442953021</v>
      </c>
      <c r="I48" s="58">
        <f>SUM(I49)</f>
        <v>1333400</v>
      </c>
      <c r="J48" s="58">
        <f>SUM(J49)</f>
        <v>0</v>
      </c>
      <c r="K48" s="58">
        <f>SUM(K49)</f>
        <v>1333400</v>
      </c>
      <c r="L48" s="44">
        <f>K48/D48</f>
        <v>0.44744966442953021</v>
      </c>
      <c r="M48" s="20">
        <f>K48/D48</f>
        <v>0.44744966442953021</v>
      </c>
      <c r="N48" s="21"/>
    </row>
    <row r="49" spans="2:15" ht="41.25" customHeight="1" x14ac:dyDescent="0.3">
      <c r="B49" s="32"/>
      <c r="C49" s="35" t="s">
        <v>64</v>
      </c>
      <c r="D49" s="57">
        <f>SUM(D50:D53)</f>
        <v>2980000</v>
      </c>
      <c r="E49" s="57">
        <f>SUM(E50:E53)</f>
        <v>1333400</v>
      </c>
      <c r="F49" s="57">
        <f>SUM(F50:F53)</f>
        <v>0</v>
      </c>
      <c r="G49" s="57">
        <f>SUM(G50:G53)</f>
        <v>1333400</v>
      </c>
      <c r="H49" s="48">
        <f>G49/D49</f>
        <v>0.44744966442953021</v>
      </c>
      <c r="I49" s="57">
        <f>SUM(I50:I53)</f>
        <v>1333400</v>
      </c>
      <c r="J49" s="57">
        <f>SUM(J50:J53)</f>
        <v>0</v>
      </c>
      <c r="K49" s="57">
        <f>SUM(K50:K53)</f>
        <v>1333400</v>
      </c>
      <c r="L49" s="47">
        <f>K49/D49</f>
        <v>0.44744966442953021</v>
      </c>
      <c r="M49" s="29">
        <f>K49/D49</f>
        <v>0.44744966442953021</v>
      </c>
      <c r="N49" s="37"/>
    </row>
    <row r="50" spans="2:15" x14ac:dyDescent="0.3">
      <c r="B50" s="192">
        <v>20</v>
      </c>
      <c r="C50" s="17" t="s">
        <v>41</v>
      </c>
      <c r="D50" s="182">
        <v>752000</v>
      </c>
      <c r="E50" s="188"/>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2228000</v>
      </c>
      <c r="E52" s="188">
        <v>1333400</v>
      </c>
      <c r="F52" s="188"/>
      <c r="G52" s="174">
        <f>E52+F52</f>
        <v>1333400</v>
      </c>
      <c r="H52" s="185">
        <f>G52/D52</f>
        <v>0.5984739676840215</v>
      </c>
      <c r="I52" s="170">
        <f>E52</f>
        <v>1333400</v>
      </c>
      <c r="J52" s="170">
        <f>F52</f>
        <v>0</v>
      </c>
      <c r="K52" s="174">
        <f>I52+J52</f>
        <v>1333400</v>
      </c>
      <c r="L52" s="184">
        <f>K52/D52</f>
        <v>0.5984739676840215</v>
      </c>
      <c r="M52" s="185">
        <f>L52</f>
        <v>0.5984739676840215</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13800000</v>
      </c>
      <c r="E54" s="53">
        <f t="shared" ref="E54:M54" si="16">E55</f>
        <v>11000000</v>
      </c>
      <c r="F54" s="53">
        <f t="shared" si="16"/>
        <v>0</v>
      </c>
      <c r="G54" s="53">
        <f t="shared" si="16"/>
        <v>11000000</v>
      </c>
      <c r="H54" s="80">
        <f>H55</f>
        <v>0.79710144927536231</v>
      </c>
      <c r="I54" s="53">
        <f t="shared" si="16"/>
        <v>11000000</v>
      </c>
      <c r="J54" s="53">
        <f t="shared" si="16"/>
        <v>0</v>
      </c>
      <c r="K54" s="53">
        <f t="shared" si="16"/>
        <v>11000000</v>
      </c>
      <c r="L54" s="80">
        <f>L55</f>
        <v>0.79710144927536231</v>
      </c>
      <c r="M54" s="80">
        <f t="shared" si="16"/>
        <v>0.79710144927536231</v>
      </c>
      <c r="N54" s="24"/>
    </row>
    <row r="55" spans="2:15" ht="17.25" customHeight="1" x14ac:dyDescent="0.3">
      <c r="B55" s="27"/>
      <c r="C55" s="35" t="s">
        <v>65</v>
      </c>
      <c r="D55" s="57">
        <f>SUM(D56:D59)</f>
        <v>13800000</v>
      </c>
      <c r="E55" s="57">
        <f>SUM(E56:E59)</f>
        <v>11000000</v>
      </c>
      <c r="F55" s="57">
        <f>SUM(F56:F59)</f>
        <v>0</v>
      </c>
      <c r="G55" s="57">
        <f>SUM(G56:G59)</f>
        <v>11000000</v>
      </c>
      <c r="H55" s="48">
        <f>G55/D55</f>
        <v>0.79710144927536231</v>
      </c>
      <c r="I55" s="57">
        <f>SUM(I56:I59)</f>
        <v>11000000</v>
      </c>
      <c r="J55" s="57">
        <f>SUM(J56:J59)</f>
        <v>0</v>
      </c>
      <c r="K55" s="57">
        <f>SUM(K56:K59)</f>
        <v>11000000</v>
      </c>
      <c r="L55" s="47">
        <f>K55/D55</f>
        <v>0.79710144927536231</v>
      </c>
      <c r="M55" s="47">
        <f>SUM(L55)</f>
        <v>0.79710144927536231</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4800000</v>
      </c>
      <c r="E58" s="188">
        <v>2000000</v>
      </c>
      <c r="F58" s="188"/>
      <c r="G58" s="174">
        <f>E58+F58</f>
        <v>2000000</v>
      </c>
      <c r="H58" s="185">
        <f>G58/D58</f>
        <v>0.41666666666666669</v>
      </c>
      <c r="I58" s="189">
        <f>E58</f>
        <v>2000000</v>
      </c>
      <c r="J58" s="188">
        <f>F58</f>
        <v>0</v>
      </c>
      <c r="K58" s="174">
        <f>I58+J58</f>
        <v>2000000</v>
      </c>
      <c r="L58" s="184">
        <f>K58/D58</f>
        <v>0.41666666666666669</v>
      </c>
      <c r="M58" s="185">
        <f>L58</f>
        <v>0.41666666666666669</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9000000</v>
      </c>
      <c r="F60" s="58">
        <f t="shared" si="17"/>
        <v>1800000</v>
      </c>
      <c r="G60" s="58">
        <f t="shared" si="17"/>
        <v>10800000</v>
      </c>
      <c r="H60" s="46">
        <f>G60/D60</f>
        <v>0.5</v>
      </c>
      <c r="I60" s="58">
        <f t="shared" ref="I60:K61" si="18">SUM(I61)</f>
        <v>9000000</v>
      </c>
      <c r="J60" s="58">
        <f t="shared" si="18"/>
        <v>1800000</v>
      </c>
      <c r="K60" s="58">
        <f t="shared" si="18"/>
        <v>10800000</v>
      </c>
      <c r="L60" s="44">
        <f>K60/D60</f>
        <v>0.5</v>
      </c>
      <c r="M60" s="23">
        <f>SUM(L60)</f>
        <v>0.5</v>
      </c>
      <c r="N60" s="21"/>
    </row>
    <row r="61" spans="2:15" ht="25.5" customHeight="1" x14ac:dyDescent="0.3">
      <c r="B61" s="25"/>
      <c r="C61" s="38" t="s">
        <v>82</v>
      </c>
      <c r="D61" s="59">
        <f t="shared" si="17"/>
        <v>21600000</v>
      </c>
      <c r="E61" s="60">
        <f t="shared" si="17"/>
        <v>9000000</v>
      </c>
      <c r="F61" s="59">
        <f t="shared" si="17"/>
        <v>1800000</v>
      </c>
      <c r="G61" s="57">
        <f t="shared" si="17"/>
        <v>10800000</v>
      </c>
      <c r="H61" s="47">
        <f>G61/D61</f>
        <v>0.5</v>
      </c>
      <c r="I61" s="59">
        <f t="shared" si="18"/>
        <v>9000000</v>
      </c>
      <c r="J61" s="59">
        <f t="shared" si="18"/>
        <v>1800000</v>
      </c>
      <c r="K61" s="59">
        <f t="shared" si="18"/>
        <v>10800000</v>
      </c>
      <c r="L61" s="47">
        <f>K61/D61</f>
        <v>0.5</v>
      </c>
      <c r="M61" s="30">
        <f>SUM(L61)</f>
        <v>0.5</v>
      </c>
      <c r="N61" s="31"/>
    </row>
    <row r="62" spans="2:15" x14ac:dyDescent="0.3">
      <c r="B62" s="180">
        <v>25</v>
      </c>
      <c r="C62" s="12" t="s">
        <v>44</v>
      </c>
      <c r="D62" s="187">
        <v>21600000</v>
      </c>
      <c r="E62" s="188">
        <v>9000000</v>
      </c>
      <c r="F62" s="188">
        <f>10800000-E62</f>
        <v>1800000</v>
      </c>
      <c r="G62" s="170">
        <f>E62+F62</f>
        <v>10800000</v>
      </c>
      <c r="H62" s="185">
        <f>G62/D62</f>
        <v>0.5</v>
      </c>
      <c r="I62" s="174">
        <f>E62</f>
        <v>9000000</v>
      </c>
      <c r="J62" s="188">
        <f>F62</f>
        <v>1800000</v>
      </c>
      <c r="K62" s="174">
        <f>I62+J62</f>
        <v>10800000</v>
      </c>
      <c r="L62" s="184">
        <f>K62/D62</f>
        <v>0.5</v>
      </c>
      <c r="M62" s="185">
        <f>L62</f>
        <v>0.5</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44250000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44250000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0</v>
      </c>
      <c r="E68" s="188">
        <v>0</v>
      </c>
      <c r="F68" s="188">
        <v>0</v>
      </c>
      <c r="G68" s="174">
        <f>E68+F68</f>
        <v>0</v>
      </c>
      <c r="H68" s="185">
        <v>0</v>
      </c>
      <c r="I68" s="174">
        <f>E68</f>
        <v>0</v>
      </c>
      <c r="J68" s="174">
        <f>F68</f>
        <v>0</v>
      </c>
      <c r="K68" s="174">
        <f>I68+J68</f>
        <v>0</v>
      </c>
      <c r="L68" s="184">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1200000</v>
      </c>
      <c r="E70" s="52">
        <f t="shared" si="19"/>
        <v>450000</v>
      </c>
      <c r="F70" s="52">
        <f t="shared" si="19"/>
        <v>0</v>
      </c>
      <c r="G70" s="52">
        <f t="shared" si="19"/>
        <v>450000</v>
      </c>
      <c r="H70" s="23">
        <f>G70/D70</f>
        <v>0.375</v>
      </c>
      <c r="I70" s="52">
        <f t="shared" ref="I70:K71" si="20">SUM(I71)</f>
        <v>450000</v>
      </c>
      <c r="J70" s="52">
        <f t="shared" si="20"/>
        <v>0</v>
      </c>
      <c r="K70" s="52">
        <f t="shared" si="20"/>
        <v>450000</v>
      </c>
      <c r="L70" s="44">
        <f>K70/D70</f>
        <v>0.375</v>
      </c>
      <c r="M70" s="68">
        <f>SUM(L70)</f>
        <v>0.375</v>
      </c>
      <c r="N70" s="43"/>
    </row>
    <row r="71" spans="2:26" ht="38.25" customHeight="1" x14ac:dyDescent="0.3">
      <c r="B71" s="25"/>
      <c r="C71" s="39" t="s">
        <v>67</v>
      </c>
      <c r="D71" s="60">
        <f t="shared" si="19"/>
        <v>1200000</v>
      </c>
      <c r="E71" s="60">
        <f t="shared" si="19"/>
        <v>450000</v>
      </c>
      <c r="F71" s="60">
        <f t="shared" si="19"/>
        <v>0</v>
      </c>
      <c r="G71" s="60">
        <f t="shared" si="19"/>
        <v>450000</v>
      </c>
      <c r="H71" s="29">
        <f>G71/D71</f>
        <v>0.375</v>
      </c>
      <c r="I71" s="60">
        <f t="shared" si="20"/>
        <v>450000</v>
      </c>
      <c r="J71" s="60">
        <f t="shared" si="20"/>
        <v>0</v>
      </c>
      <c r="K71" s="60">
        <f t="shared" si="20"/>
        <v>450000</v>
      </c>
      <c r="L71" s="47">
        <f>K71/D71</f>
        <v>0.375</v>
      </c>
      <c r="M71" s="29">
        <f>SUM(L71)</f>
        <v>0.375</v>
      </c>
      <c r="N71" s="40"/>
    </row>
    <row r="72" spans="2:26" x14ac:dyDescent="0.3">
      <c r="B72" s="180">
        <v>28</v>
      </c>
      <c r="C72" s="17" t="s">
        <v>47</v>
      </c>
      <c r="D72" s="182">
        <v>1200000</v>
      </c>
      <c r="E72" s="172">
        <v>450000</v>
      </c>
      <c r="F72" s="172"/>
      <c r="G72" s="174">
        <f>E72+F72</f>
        <v>450000</v>
      </c>
      <c r="H72" s="177">
        <f>G72/D72</f>
        <v>0.375</v>
      </c>
      <c r="I72" s="170">
        <f>E72</f>
        <v>450000</v>
      </c>
      <c r="J72" s="172">
        <f>F72</f>
        <v>0</v>
      </c>
      <c r="K72" s="174">
        <f>I72+J72</f>
        <v>450000</v>
      </c>
      <c r="L72" s="175">
        <f>K72/D72</f>
        <v>0.375</v>
      </c>
      <c r="M72" s="177">
        <f>L72</f>
        <v>0.375</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2768176092</v>
      </c>
      <c r="E74" s="165">
        <f>E9+E48+E54+E60+E64+E70</f>
        <v>1317428996</v>
      </c>
      <c r="F74" s="165">
        <f>F9+F48+F54+F60+F64+F70</f>
        <v>174176155</v>
      </c>
      <c r="G74" s="159">
        <f>G9+G48+G54+G60+G64+G70</f>
        <v>1491605151</v>
      </c>
      <c r="H74" s="157">
        <f>G74/D74</f>
        <v>0.53884041384170733</v>
      </c>
      <c r="I74" s="159">
        <f>I9+I48+I54+I60+I64+I70</f>
        <v>1317428996</v>
      </c>
      <c r="J74" s="159">
        <f>J9+J48+J54+J60+J64+J70</f>
        <v>174176155</v>
      </c>
      <c r="K74" s="159">
        <f>K9+K48+K54+K60+K64+K70</f>
        <v>1491605151</v>
      </c>
      <c r="L74" s="157">
        <f>K74/D74</f>
        <v>0.53884041384170733</v>
      </c>
      <c r="M74" s="157">
        <f>K74/D74</f>
        <v>0.53884041384170733</v>
      </c>
      <c r="N74" s="153"/>
    </row>
    <row r="75" spans="2:26" ht="15" thickBot="1" x14ac:dyDescent="0.35">
      <c r="B75" s="162"/>
      <c r="C75" s="164"/>
      <c r="D75" s="160"/>
      <c r="E75" s="166"/>
      <c r="F75" s="166"/>
      <c r="G75" s="160"/>
      <c r="H75" s="158"/>
      <c r="I75" s="160"/>
      <c r="J75" s="160"/>
      <c r="K75" s="160"/>
      <c r="L75" s="158"/>
      <c r="M75" s="158"/>
      <c r="N75" s="154"/>
    </row>
    <row r="76" spans="2:26" x14ac:dyDescent="0.3">
      <c r="B76" s="129"/>
      <c r="D76" s="2"/>
      <c r="E76" s="69"/>
      <c r="F76" s="7"/>
      <c r="G76" s="61"/>
      <c r="L76" s="129"/>
    </row>
    <row r="77" spans="2:26" x14ac:dyDescent="0.3">
      <c r="D77" s="4"/>
      <c r="E77" s="62"/>
      <c r="F77" s="63"/>
      <c r="G77" s="45"/>
      <c r="J77" s="155" t="s">
        <v>142</v>
      </c>
      <c r="K77" s="155"/>
      <c r="L77" s="155"/>
      <c r="M77" s="155"/>
      <c r="N77" s="130"/>
    </row>
    <row r="78" spans="2:26" x14ac:dyDescent="0.3">
      <c r="D78" s="4"/>
      <c r="E78" s="62"/>
      <c r="G78" s="61"/>
      <c r="J78" s="155" t="s">
        <v>56</v>
      </c>
      <c r="K78" s="155"/>
      <c r="L78" s="155"/>
      <c r="M78" s="155"/>
      <c r="N78" s="130"/>
    </row>
    <row r="79" spans="2:26" x14ac:dyDescent="0.3">
      <c r="D79" s="4"/>
      <c r="E79" s="62"/>
      <c r="K79" s="130"/>
      <c r="L79" s="130"/>
      <c r="M79" s="130"/>
      <c r="N79" s="130"/>
    </row>
    <row r="80" spans="2:26" x14ac:dyDescent="0.3">
      <c r="D80" s="4"/>
      <c r="E80" s="70"/>
      <c r="F80" s="62"/>
      <c r="G80" s="45"/>
      <c r="K80" s="130"/>
      <c r="L80" s="130"/>
      <c r="M80" s="130"/>
      <c r="N80" s="130"/>
    </row>
    <row r="81" spans="2:14" x14ac:dyDescent="0.3">
      <c r="D81" s="78"/>
      <c r="K81" s="130"/>
      <c r="L81" s="130"/>
      <c r="M81" s="130"/>
      <c r="N81" s="130"/>
    </row>
    <row r="82" spans="2:14" x14ac:dyDescent="0.3">
      <c r="D82" s="4"/>
      <c r="E82" s="63"/>
      <c r="J82" s="156" t="s">
        <v>59</v>
      </c>
      <c r="K82" s="156"/>
      <c r="L82" s="156"/>
      <c r="M82" s="156"/>
      <c r="N82" s="130"/>
    </row>
    <row r="83" spans="2:14" ht="13.8" customHeight="1" x14ac:dyDescent="0.3">
      <c r="D83" s="78"/>
      <c r="J83" s="155" t="s">
        <v>79</v>
      </c>
      <c r="K83" s="155"/>
      <c r="L83" s="155"/>
      <c r="M83" s="155"/>
      <c r="N83" s="130"/>
    </row>
    <row r="84" spans="2:14" x14ac:dyDescent="0.3">
      <c r="D84" s="4"/>
      <c r="J84" s="155" t="s">
        <v>60</v>
      </c>
      <c r="K84" s="155"/>
      <c r="L84" s="155"/>
      <c r="M84" s="155"/>
      <c r="N84" s="5"/>
    </row>
    <row r="85" spans="2:14" x14ac:dyDescent="0.3">
      <c r="B85" s="129"/>
      <c r="D85" s="2"/>
      <c r="E85" s="71"/>
      <c r="L85" s="129"/>
    </row>
    <row r="86" spans="2:14" x14ac:dyDescent="0.3">
      <c r="B86" s="129"/>
      <c r="D86" s="2"/>
      <c r="E86" s="71"/>
      <c r="L86" s="129"/>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66" orientation="landscape" horizontalDpi="300" verticalDpi="300" r:id="rId1"/>
  <rowBreaks count="2" manualBreakCount="2">
    <brk id="35" max="14" man="1"/>
    <brk id="59" max="14"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F2B-FC83-4FEA-9F23-6A3984EA31F9}">
  <dimension ref="A1:T93"/>
  <sheetViews>
    <sheetView view="pageBreakPreview" zoomScale="99" zoomScaleNormal="75" zoomScaleSheetLayoutView="99" workbookViewId="0">
      <pane xSplit="3" ySplit="2" topLeftCell="D24" activePane="bottomRight" state="frozen"/>
      <selection pane="topRight" activeCell="C1" sqref="C1"/>
      <selection pane="bottomLeft" activeCell="A3" sqref="A3"/>
      <selection pane="bottomRight" activeCell="H64" sqref="H64:H65"/>
    </sheetView>
  </sheetViews>
  <sheetFormatPr defaultRowHeight="14.4" x14ac:dyDescent="0.3"/>
  <cols>
    <col min="1" max="1" width="1.33203125" customWidth="1"/>
    <col min="2" max="2" width="4.33203125" customWidth="1"/>
    <col min="3" max="3" width="59.44140625" customWidth="1"/>
    <col min="4" max="4" width="17.21875" customWidth="1"/>
    <col min="5" max="5" width="16.6640625" customWidth="1"/>
    <col min="6" max="6" width="18.5546875" customWidth="1"/>
    <col min="7" max="7" width="15.5546875" style="131" customWidth="1"/>
    <col min="8" max="8" width="37.6640625" customWidth="1"/>
    <col min="9" max="9" width="10.5546875" bestFit="1" customWidth="1"/>
  </cols>
  <sheetData>
    <row r="1" spans="1:13" x14ac:dyDescent="0.3">
      <c r="B1" s="212" t="s">
        <v>134</v>
      </c>
      <c r="C1" s="212"/>
      <c r="D1" s="212"/>
      <c r="E1" s="212"/>
      <c r="F1" s="212"/>
      <c r="G1" s="212"/>
      <c r="H1" s="212"/>
    </row>
    <row r="2" spans="1:13" x14ac:dyDescent="0.3">
      <c r="B2" s="212" t="s">
        <v>57</v>
      </c>
      <c r="C2" s="212"/>
      <c r="D2" s="212"/>
      <c r="E2" s="212"/>
      <c r="F2" s="212"/>
      <c r="G2" s="212"/>
      <c r="H2" s="212"/>
    </row>
    <row r="3" spans="1:13" ht="10.8" customHeight="1" x14ac:dyDescent="0.3">
      <c r="B3" s="213"/>
      <c r="C3" s="213"/>
      <c r="D3" s="128"/>
      <c r="E3" s="1"/>
      <c r="F3" s="3"/>
      <c r="H3" s="127"/>
    </row>
    <row r="4" spans="1:13" ht="10.8" customHeight="1" x14ac:dyDescent="0.3">
      <c r="B4" s="180" t="s">
        <v>6</v>
      </c>
      <c r="C4" s="214" t="s">
        <v>7</v>
      </c>
      <c r="D4" s="224" t="s">
        <v>108</v>
      </c>
      <c r="E4" s="225" t="s">
        <v>130</v>
      </c>
      <c r="F4" s="226" t="s">
        <v>131</v>
      </c>
      <c r="G4" s="224" t="s">
        <v>102</v>
      </c>
      <c r="H4" s="224" t="s">
        <v>135</v>
      </c>
    </row>
    <row r="5" spans="1:13" ht="10.8" customHeight="1" x14ac:dyDescent="0.3">
      <c r="B5" s="192"/>
      <c r="C5" s="215"/>
      <c r="D5" s="224"/>
      <c r="E5" s="225"/>
      <c r="F5" s="226"/>
      <c r="G5" s="224"/>
      <c r="H5" s="224"/>
    </row>
    <row r="6" spans="1:13" ht="10.8" customHeight="1" x14ac:dyDescent="0.3">
      <c r="B6" s="181"/>
      <c r="C6" s="216"/>
      <c r="D6" s="224"/>
      <c r="E6" s="225"/>
      <c r="F6" s="226"/>
      <c r="G6" s="224"/>
      <c r="H6" s="224"/>
    </row>
    <row r="7" spans="1:13" s="73" customFormat="1" x14ac:dyDescent="0.3">
      <c r="A7"/>
      <c r="B7" s="41"/>
      <c r="C7" s="49" t="s">
        <v>68</v>
      </c>
      <c r="D7" s="51">
        <f>D8+D13+D16+D19+D34+D39</f>
        <v>2684346092</v>
      </c>
      <c r="E7" s="99" t="s">
        <v>129</v>
      </c>
      <c r="F7" s="108">
        <f>F8+F13+F16+F19+F34+F39</f>
        <v>1295645596</v>
      </c>
      <c r="G7" s="132">
        <v>0.48266711951239705</v>
      </c>
      <c r="H7" s="41"/>
      <c r="I7"/>
      <c r="J7"/>
      <c r="K7"/>
      <c r="L7"/>
      <c r="M7"/>
    </row>
    <row r="8" spans="1:13" x14ac:dyDescent="0.3">
      <c r="B8" s="25"/>
      <c r="C8" s="26" t="s">
        <v>61</v>
      </c>
      <c r="D8" s="57">
        <f>SUM(D9:D12)</f>
        <v>6915400</v>
      </c>
      <c r="E8" s="145" t="s">
        <v>129</v>
      </c>
      <c r="F8" s="146">
        <f>SUM(F9:F12)</f>
        <v>751750</v>
      </c>
      <c r="G8" s="133">
        <v>0.10870665471267027</v>
      </c>
      <c r="H8" s="27"/>
    </row>
    <row r="9" spans="1:13" x14ac:dyDescent="0.3">
      <c r="B9" s="180">
        <v>1</v>
      </c>
      <c r="C9" s="12" t="s">
        <v>30</v>
      </c>
      <c r="D9" s="220">
        <v>5093700</v>
      </c>
      <c r="E9" s="221" t="s">
        <v>132</v>
      </c>
      <c r="F9" s="189">
        <v>751750</v>
      </c>
      <c r="G9" s="222">
        <v>0.14758427076584801</v>
      </c>
      <c r="H9" s="223" t="s">
        <v>117</v>
      </c>
    </row>
    <row r="10" spans="1:13" x14ac:dyDescent="0.3">
      <c r="B10" s="181"/>
      <c r="C10" s="13" t="s">
        <v>18</v>
      </c>
      <c r="D10" s="220"/>
      <c r="E10" s="220"/>
      <c r="F10" s="189"/>
      <c r="G10" s="222"/>
      <c r="H10" s="223"/>
    </row>
    <row r="11" spans="1:13" x14ac:dyDescent="0.3">
      <c r="B11" s="180">
        <v>2</v>
      </c>
      <c r="C11" s="12" t="s">
        <v>93</v>
      </c>
      <c r="D11" s="220">
        <v>1821700</v>
      </c>
      <c r="E11" s="221" t="s">
        <v>132</v>
      </c>
      <c r="F11" s="189">
        <v>0</v>
      </c>
      <c r="G11" s="222">
        <v>0</v>
      </c>
      <c r="H11" s="223" t="s">
        <v>117</v>
      </c>
    </row>
    <row r="12" spans="1:13" x14ac:dyDescent="0.3">
      <c r="B12" s="181"/>
      <c r="C12" s="86" t="s">
        <v>94</v>
      </c>
      <c r="D12" s="227"/>
      <c r="E12" s="220"/>
      <c r="F12" s="189"/>
      <c r="G12" s="222"/>
      <c r="H12" s="223"/>
    </row>
    <row r="13" spans="1:13" x14ac:dyDescent="0.3">
      <c r="B13" s="25"/>
      <c r="C13" s="26" t="s">
        <v>62</v>
      </c>
      <c r="D13" s="56">
        <f>SUM(D14)</f>
        <v>2061154392</v>
      </c>
      <c r="E13" s="145" t="s">
        <v>129</v>
      </c>
      <c r="F13" s="146">
        <f>F14</f>
        <v>989394869</v>
      </c>
      <c r="G13" s="134">
        <v>0.48001977573352012</v>
      </c>
      <c r="H13" s="37"/>
    </row>
    <row r="14" spans="1:13" x14ac:dyDescent="0.3">
      <c r="B14" s="180">
        <v>3</v>
      </c>
      <c r="C14" s="12" t="s">
        <v>33</v>
      </c>
      <c r="D14" s="220">
        <v>2061154392</v>
      </c>
      <c r="E14" s="221" t="s">
        <v>132</v>
      </c>
      <c r="F14" s="189">
        <v>989394869</v>
      </c>
      <c r="G14" s="222">
        <v>0.48001977573352012</v>
      </c>
      <c r="H14" s="223" t="s">
        <v>115</v>
      </c>
    </row>
    <row r="15" spans="1:13" x14ac:dyDescent="0.3">
      <c r="B15" s="192"/>
      <c r="C15" s="14" t="s">
        <v>19</v>
      </c>
      <c r="D15" s="220"/>
      <c r="E15" s="220"/>
      <c r="F15" s="189"/>
      <c r="G15" s="222"/>
      <c r="H15" s="223"/>
    </row>
    <row r="16" spans="1:13" x14ac:dyDescent="0.3">
      <c r="B16" s="32"/>
      <c r="C16" s="33" t="s">
        <v>69</v>
      </c>
      <c r="D16" s="57">
        <f>SUM(D17)</f>
        <v>50000000</v>
      </c>
      <c r="E16" s="145" t="s">
        <v>104</v>
      </c>
      <c r="F16" s="147">
        <f>F17</f>
        <v>50000000</v>
      </c>
      <c r="G16" s="135">
        <v>1</v>
      </c>
      <c r="H16" s="34"/>
    </row>
    <row r="17" spans="2:8" x14ac:dyDescent="0.3">
      <c r="B17" s="192">
        <v>4</v>
      </c>
      <c r="C17" s="15" t="s">
        <v>49</v>
      </c>
      <c r="D17" s="220">
        <v>50000000</v>
      </c>
      <c r="E17" s="221" t="s">
        <v>133</v>
      </c>
      <c r="F17" s="189">
        <v>50000000</v>
      </c>
      <c r="G17" s="228">
        <v>1</v>
      </c>
      <c r="H17" s="223" t="s">
        <v>115</v>
      </c>
    </row>
    <row r="18" spans="2:8" x14ac:dyDescent="0.3">
      <c r="B18" s="181"/>
      <c r="C18" s="16" t="s">
        <v>48</v>
      </c>
      <c r="D18" s="220"/>
      <c r="E18" s="220"/>
      <c r="F18" s="189"/>
      <c r="G18" s="228"/>
      <c r="H18" s="223"/>
    </row>
    <row r="19" spans="2:8" x14ac:dyDescent="0.3">
      <c r="B19" s="25"/>
      <c r="C19" s="35" t="s">
        <v>63</v>
      </c>
      <c r="D19" s="57">
        <f>SUM(D20:D33)</f>
        <v>62222000</v>
      </c>
      <c r="E19" s="145" t="s">
        <v>129</v>
      </c>
      <c r="F19" s="148">
        <f>SUM(F20:F33)</f>
        <v>51098900</v>
      </c>
      <c r="G19" s="133">
        <v>0.82123525441162293</v>
      </c>
      <c r="H19" s="34"/>
    </row>
    <row r="20" spans="2:8" x14ac:dyDescent="0.3">
      <c r="B20" s="180">
        <v>5</v>
      </c>
      <c r="C20" s="17" t="s">
        <v>34</v>
      </c>
      <c r="D20" s="220">
        <v>6234000</v>
      </c>
      <c r="E20" s="221" t="s">
        <v>132</v>
      </c>
      <c r="F20" s="189">
        <v>3709000</v>
      </c>
      <c r="G20" s="228">
        <v>0.59496310555020848</v>
      </c>
      <c r="H20" s="223" t="s">
        <v>115</v>
      </c>
    </row>
    <row r="21" spans="2:8" x14ac:dyDescent="0.3">
      <c r="B21" s="192"/>
      <c r="C21" s="16" t="s">
        <v>2</v>
      </c>
      <c r="D21" s="220"/>
      <c r="E21" s="220"/>
      <c r="F21" s="189"/>
      <c r="G21" s="228"/>
      <c r="H21" s="223"/>
    </row>
    <row r="22" spans="2:8" x14ac:dyDescent="0.3">
      <c r="B22" s="180">
        <v>6</v>
      </c>
      <c r="C22" s="74" t="s">
        <v>35</v>
      </c>
      <c r="D22" s="220">
        <v>7096300</v>
      </c>
      <c r="E22" s="221" t="s">
        <v>132</v>
      </c>
      <c r="F22" s="189">
        <v>4814200</v>
      </c>
      <c r="G22" s="229">
        <v>0.67840987556895849</v>
      </c>
      <c r="H22" s="223" t="s">
        <v>115</v>
      </c>
    </row>
    <row r="23" spans="2:8" x14ac:dyDescent="0.3">
      <c r="B23" s="181"/>
      <c r="C23" s="13" t="s">
        <v>77</v>
      </c>
      <c r="D23" s="220"/>
      <c r="E23" s="220"/>
      <c r="F23" s="189"/>
      <c r="G23" s="230"/>
      <c r="H23" s="223"/>
    </row>
    <row r="24" spans="2:8" x14ac:dyDescent="0.3">
      <c r="B24" s="180">
        <v>7</v>
      </c>
      <c r="C24" s="17" t="s">
        <v>50</v>
      </c>
      <c r="D24" s="220">
        <v>6663500</v>
      </c>
      <c r="E24" s="221" t="s">
        <v>132</v>
      </c>
      <c r="F24" s="189">
        <v>4116100</v>
      </c>
      <c r="G24" s="222">
        <v>0.6177084114954603</v>
      </c>
      <c r="H24" s="223" t="s">
        <v>115</v>
      </c>
    </row>
    <row r="25" spans="2:8" x14ac:dyDescent="0.3">
      <c r="B25" s="192"/>
      <c r="C25" s="16" t="s">
        <v>51</v>
      </c>
      <c r="D25" s="220"/>
      <c r="E25" s="220"/>
      <c r="F25" s="189"/>
      <c r="G25" s="222"/>
      <c r="H25" s="223"/>
    </row>
    <row r="26" spans="2:8" x14ac:dyDescent="0.3">
      <c r="B26" s="180">
        <v>8</v>
      </c>
      <c r="C26" s="12" t="s">
        <v>36</v>
      </c>
      <c r="D26" s="220">
        <v>3348200</v>
      </c>
      <c r="E26" s="221" t="s">
        <v>132</v>
      </c>
      <c r="F26" s="189">
        <v>1229200</v>
      </c>
      <c r="G26" s="222">
        <v>0.36712263305656773</v>
      </c>
      <c r="H26" s="223" t="s">
        <v>116</v>
      </c>
    </row>
    <row r="27" spans="2:8" x14ac:dyDescent="0.3">
      <c r="B27" s="181"/>
      <c r="C27" s="16" t="s">
        <v>1</v>
      </c>
      <c r="D27" s="220"/>
      <c r="E27" s="220"/>
      <c r="F27" s="189"/>
      <c r="G27" s="222"/>
      <c r="H27" s="223"/>
    </row>
    <row r="28" spans="2:8" x14ac:dyDescent="0.3">
      <c r="B28" s="180">
        <v>9</v>
      </c>
      <c r="C28" s="12" t="s">
        <v>37</v>
      </c>
      <c r="D28" s="220">
        <v>1380000</v>
      </c>
      <c r="E28" s="221" t="s">
        <v>132</v>
      </c>
      <c r="F28" s="189">
        <v>690000</v>
      </c>
      <c r="G28" s="222">
        <v>0.5</v>
      </c>
      <c r="H28" s="223" t="s">
        <v>115</v>
      </c>
    </row>
    <row r="29" spans="2:8" x14ac:dyDescent="0.3">
      <c r="B29" s="181"/>
      <c r="C29" s="13" t="s">
        <v>3</v>
      </c>
      <c r="D29" s="220"/>
      <c r="E29" s="220"/>
      <c r="F29" s="189"/>
      <c r="G29" s="222"/>
      <c r="H29" s="223"/>
    </row>
    <row r="30" spans="2:8" x14ac:dyDescent="0.3">
      <c r="B30" s="180">
        <v>10</v>
      </c>
      <c r="C30" s="12" t="s">
        <v>38</v>
      </c>
      <c r="D30" s="220">
        <v>3000000</v>
      </c>
      <c r="E30" s="221" t="s">
        <v>132</v>
      </c>
      <c r="F30" s="189">
        <v>2250000</v>
      </c>
      <c r="G30" s="222">
        <v>0.75</v>
      </c>
      <c r="H30" s="223" t="s">
        <v>115</v>
      </c>
    </row>
    <row r="31" spans="2:8" x14ac:dyDescent="0.3">
      <c r="B31" s="181"/>
      <c r="C31" s="13" t="s">
        <v>20</v>
      </c>
      <c r="D31" s="220"/>
      <c r="E31" s="220"/>
      <c r="F31" s="189"/>
      <c r="G31" s="222"/>
      <c r="H31" s="223"/>
    </row>
    <row r="32" spans="2:8" x14ac:dyDescent="0.3">
      <c r="B32" s="180">
        <v>11</v>
      </c>
      <c r="C32" s="64" t="s">
        <v>52</v>
      </c>
      <c r="D32" s="220">
        <v>34500000</v>
      </c>
      <c r="E32" s="221" t="s">
        <v>132</v>
      </c>
      <c r="F32" s="189">
        <v>34290400</v>
      </c>
      <c r="G32" s="222">
        <v>0.99392463768115946</v>
      </c>
      <c r="H32" s="223" t="s">
        <v>115</v>
      </c>
    </row>
    <row r="33" spans="2:8" x14ac:dyDescent="0.3">
      <c r="B33" s="181"/>
      <c r="C33" s="13" t="s">
        <v>53</v>
      </c>
      <c r="D33" s="220"/>
      <c r="E33" s="220"/>
      <c r="F33" s="189"/>
      <c r="G33" s="222"/>
      <c r="H33" s="223"/>
    </row>
    <row r="34" spans="2:8" x14ac:dyDescent="0.3">
      <c r="B34" s="25"/>
      <c r="C34" s="35" t="s">
        <v>70</v>
      </c>
      <c r="D34" s="57">
        <f>SUM(D35:D38)</f>
        <v>467880000</v>
      </c>
      <c r="E34" s="145" t="s">
        <v>129</v>
      </c>
      <c r="F34" s="148">
        <f>SUM(F35:F38)</f>
        <v>192936077</v>
      </c>
      <c r="G34" s="133">
        <v>0.41236230871163548</v>
      </c>
      <c r="H34" s="34"/>
    </row>
    <row r="35" spans="2:8" x14ac:dyDescent="0.3">
      <c r="B35" s="180">
        <v>15</v>
      </c>
      <c r="C35" s="12" t="s">
        <v>39</v>
      </c>
      <c r="D35" s="220">
        <v>46200000</v>
      </c>
      <c r="E35" s="221" t="s">
        <v>132</v>
      </c>
      <c r="F35" s="189">
        <v>17236077</v>
      </c>
      <c r="G35" s="222">
        <v>0.37307525974025973</v>
      </c>
      <c r="H35" s="223" t="s">
        <v>105</v>
      </c>
    </row>
    <row r="36" spans="2:8" x14ac:dyDescent="0.3">
      <c r="B36" s="181"/>
      <c r="C36" s="13" t="s">
        <v>0</v>
      </c>
      <c r="D36" s="220"/>
      <c r="E36" s="220"/>
      <c r="F36" s="189"/>
      <c r="G36" s="222"/>
      <c r="H36" s="223"/>
    </row>
    <row r="37" spans="2:8" x14ac:dyDescent="0.3">
      <c r="B37" s="180">
        <v>16</v>
      </c>
      <c r="C37" s="12" t="s">
        <v>40</v>
      </c>
      <c r="D37" s="220">
        <v>421680000</v>
      </c>
      <c r="E37" s="221" t="s">
        <v>132</v>
      </c>
      <c r="F37" s="189">
        <v>175700000</v>
      </c>
      <c r="G37" s="222">
        <v>0.41666666666666669</v>
      </c>
      <c r="H37" s="223" t="s">
        <v>105</v>
      </c>
    </row>
    <row r="38" spans="2:8" x14ac:dyDescent="0.3">
      <c r="B38" s="181"/>
      <c r="C38" s="75" t="s">
        <v>21</v>
      </c>
      <c r="D38" s="220"/>
      <c r="E38" s="220"/>
      <c r="F38" s="189"/>
      <c r="G38" s="222"/>
      <c r="H38" s="223"/>
    </row>
    <row r="39" spans="2:8" ht="27.6" x14ac:dyDescent="0.3">
      <c r="B39" s="25"/>
      <c r="C39" s="76" t="s">
        <v>71</v>
      </c>
      <c r="D39" s="57">
        <f>SUM(D40:D45)</f>
        <v>36174300</v>
      </c>
      <c r="E39" s="145" t="s">
        <v>129</v>
      </c>
      <c r="F39" s="147">
        <f>SUM(F40:F45)</f>
        <v>11464000</v>
      </c>
      <c r="G39" s="133">
        <v>0.31691007151486</v>
      </c>
      <c r="H39" s="37"/>
    </row>
    <row r="40" spans="2:8" x14ac:dyDescent="0.3">
      <c r="B40" s="180">
        <v>17</v>
      </c>
      <c r="C40" s="12" t="s">
        <v>32</v>
      </c>
      <c r="D40" s="220">
        <v>21430000</v>
      </c>
      <c r="E40" s="221" t="s">
        <v>132</v>
      </c>
      <c r="F40" s="189">
        <v>10064000</v>
      </c>
      <c r="G40" s="222">
        <v>0.46962202519832014</v>
      </c>
      <c r="H40" s="223" t="s">
        <v>105</v>
      </c>
    </row>
    <row r="41" spans="2:8" ht="27.6" x14ac:dyDescent="0.3">
      <c r="B41" s="181"/>
      <c r="C41" s="13" t="s">
        <v>78</v>
      </c>
      <c r="D41" s="220"/>
      <c r="E41" s="220"/>
      <c r="F41" s="189"/>
      <c r="G41" s="222"/>
      <c r="H41" s="223"/>
    </row>
    <row r="42" spans="2:8" x14ac:dyDescent="0.3">
      <c r="B42" s="180">
        <v>18</v>
      </c>
      <c r="C42" s="12" t="s">
        <v>31</v>
      </c>
      <c r="D42" s="220">
        <v>4140000</v>
      </c>
      <c r="E42" s="221" t="s">
        <v>132</v>
      </c>
      <c r="F42" s="189">
        <v>1400000</v>
      </c>
      <c r="G42" s="222">
        <v>0.33816425120772947</v>
      </c>
      <c r="H42" s="223" t="s">
        <v>105</v>
      </c>
    </row>
    <row r="43" spans="2:8" x14ac:dyDescent="0.3">
      <c r="B43" s="181"/>
      <c r="C43" s="13" t="s">
        <v>22</v>
      </c>
      <c r="D43" s="220"/>
      <c r="E43" s="220"/>
      <c r="F43" s="189"/>
      <c r="G43" s="222"/>
      <c r="H43" s="223"/>
    </row>
    <row r="44" spans="2:8" x14ac:dyDescent="0.3">
      <c r="B44" s="180">
        <v>19</v>
      </c>
      <c r="C44" s="12" t="s">
        <v>81</v>
      </c>
      <c r="D44" s="220">
        <v>10604300</v>
      </c>
      <c r="E44" s="221" t="s">
        <v>132</v>
      </c>
      <c r="F44" s="189">
        <v>0</v>
      </c>
      <c r="G44" s="222">
        <v>0</v>
      </c>
      <c r="H44" s="223" t="s">
        <v>117</v>
      </c>
    </row>
    <row r="45" spans="2:8" ht="27.6" x14ac:dyDescent="0.3">
      <c r="B45" s="181"/>
      <c r="C45" s="16" t="s">
        <v>80</v>
      </c>
      <c r="D45" s="220"/>
      <c r="E45" s="220"/>
      <c r="F45" s="189"/>
      <c r="G45" s="222"/>
      <c r="H45" s="223"/>
    </row>
    <row r="46" spans="2:8" ht="27.6" x14ac:dyDescent="0.3">
      <c r="B46" s="18"/>
      <c r="C46" s="19" t="s">
        <v>76</v>
      </c>
      <c r="D46" s="58">
        <f>SUM(D47)</f>
        <v>2980000</v>
      </c>
      <c r="E46" s="99" t="s">
        <v>129</v>
      </c>
      <c r="F46" s="109">
        <f>F47</f>
        <v>1333400</v>
      </c>
      <c r="G46" s="136">
        <v>0.44744966442953021</v>
      </c>
      <c r="H46" s="21"/>
    </row>
    <row r="47" spans="2:8" ht="27.6" x14ac:dyDescent="0.3">
      <c r="B47" s="32"/>
      <c r="C47" s="35" t="s">
        <v>64</v>
      </c>
      <c r="D47" s="57">
        <f>SUM(D48:D51)</f>
        <v>2980000</v>
      </c>
      <c r="E47" s="145" t="s">
        <v>129</v>
      </c>
      <c r="F47" s="148">
        <f>SUM(F48:F51)</f>
        <v>1333400</v>
      </c>
      <c r="G47" s="137">
        <v>0.44744966442953021</v>
      </c>
      <c r="H47" s="37"/>
    </row>
    <row r="48" spans="2:8" x14ac:dyDescent="0.3">
      <c r="B48" s="192">
        <v>20</v>
      </c>
      <c r="C48" s="17" t="s">
        <v>41</v>
      </c>
      <c r="D48" s="220">
        <v>752000</v>
      </c>
      <c r="E48" s="221" t="s">
        <v>106</v>
      </c>
      <c r="F48" s="189">
        <v>0</v>
      </c>
      <c r="G48" s="222">
        <v>0</v>
      </c>
      <c r="H48" s="223" t="s">
        <v>136</v>
      </c>
    </row>
    <row r="49" spans="2:9" x14ac:dyDescent="0.3">
      <c r="B49" s="181"/>
      <c r="C49" s="16" t="s">
        <v>23</v>
      </c>
      <c r="D49" s="220"/>
      <c r="E49" s="220"/>
      <c r="F49" s="189"/>
      <c r="G49" s="222"/>
      <c r="H49" s="223"/>
    </row>
    <row r="50" spans="2:9" x14ac:dyDescent="0.3">
      <c r="B50" s="180">
        <v>21</v>
      </c>
      <c r="C50" s="12" t="s">
        <v>42</v>
      </c>
      <c r="D50" s="220">
        <v>2228000</v>
      </c>
      <c r="E50" s="221" t="s">
        <v>132</v>
      </c>
      <c r="F50" s="189">
        <v>1333400</v>
      </c>
      <c r="G50" s="231">
        <v>0.5984739676840215</v>
      </c>
      <c r="H50" s="223" t="s">
        <v>115</v>
      </c>
    </row>
    <row r="51" spans="2:9" ht="27.6" x14ac:dyDescent="0.3">
      <c r="B51" s="181"/>
      <c r="C51" s="13" t="s">
        <v>24</v>
      </c>
      <c r="D51" s="220"/>
      <c r="E51" s="220"/>
      <c r="F51" s="189"/>
      <c r="G51" s="231"/>
      <c r="H51" s="223"/>
    </row>
    <row r="52" spans="2:9" x14ac:dyDescent="0.3">
      <c r="B52" s="18"/>
      <c r="C52" s="22" t="s">
        <v>72</v>
      </c>
      <c r="D52" s="53">
        <f>D53</f>
        <v>13800000</v>
      </c>
      <c r="E52" s="99" t="s">
        <v>104</v>
      </c>
      <c r="F52" s="110">
        <f>F53</f>
        <v>11000000</v>
      </c>
      <c r="G52" s="138">
        <v>0.79710144927536231</v>
      </c>
      <c r="H52" s="24"/>
    </row>
    <row r="53" spans="2:9" x14ac:dyDescent="0.3">
      <c r="B53" s="27"/>
      <c r="C53" s="35" t="s">
        <v>65</v>
      </c>
      <c r="D53" s="57">
        <f>SUM(D54:D57)</f>
        <v>13800000</v>
      </c>
      <c r="E53" s="145" t="s">
        <v>129</v>
      </c>
      <c r="F53" s="148">
        <f>SUM(F54:F57)</f>
        <v>11000000</v>
      </c>
      <c r="G53" s="135">
        <v>0.79710144927536231</v>
      </c>
      <c r="H53" s="37"/>
    </row>
    <row r="54" spans="2:9" x14ac:dyDescent="0.3">
      <c r="B54" s="192">
        <v>22</v>
      </c>
      <c r="C54" s="15" t="s">
        <v>55</v>
      </c>
      <c r="D54" s="220">
        <v>9000000</v>
      </c>
      <c r="E54" s="221" t="s">
        <v>104</v>
      </c>
      <c r="F54" s="189">
        <v>9000000</v>
      </c>
      <c r="G54" s="222">
        <v>1</v>
      </c>
      <c r="H54" s="223" t="s">
        <v>119</v>
      </c>
    </row>
    <row r="55" spans="2:9" ht="27.6" x14ac:dyDescent="0.3">
      <c r="B55" s="181"/>
      <c r="C55" s="13" t="s">
        <v>54</v>
      </c>
      <c r="D55" s="220"/>
      <c r="E55" s="220"/>
      <c r="F55" s="189"/>
      <c r="G55" s="222"/>
      <c r="H55" s="223"/>
      <c r="I55" s="45"/>
    </row>
    <row r="56" spans="2:9" x14ac:dyDescent="0.3">
      <c r="B56" s="180">
        <v>23</v>
      </c>
      <c r="C56" s="12" t="s">
        <v>43</v>
      </c>
      <c r="D56" s="220">
        <v>4800000</v>
      </c>
      <c r="E56" s="221" t="s">
        <v>132</v>
      </c>
      <c r="F56" s="189">
        <v>2000000</v>
      </c>
      <c r="G56" s="231">
        <v>0.41666666666666669</v>
      </c>
      <c r="H56" s="223" t="s">
        <v>105</v>
      </c>
    </row>
    <row r="57" spans="2:9" ht="27.6" x14ac:dyDescent="0.3">
      <c r="B57" s="192"/>
      <c r="C57" s="16" t="s">
        <v>25</v>
      </c>
      <c r="D57" s="220"/>
      <c r="E57" s="220"/>
      <c r="F57" s="189"/>
      <c r="G57" s="231"/>
      <c r="H57" s="223"/>
    </row>
    <row r="58" spans="2:9" x14ac:dyDescent="0.3">
      <c r="B58" s="18"/>
      <c r="C58" s="19" t="s">
        <v>73</v>
      </c>
      <c r="D58" s="58">
        <f t="shared" ref="D58:D59" si="0">SUM(D59)</f>
        <v>21600000</v>
      </c>
      <c r="E58" s="99" t="s">
        <v>129</v>
      </c>
      <c r="F58" s="109">
        <f>F59</f>
        <v>9000000</v>
      </c>
      <c r="G58" s="139">
        <v>0.41666666666666669</v>
      </c>
      <c r="H58" s="21"/>
    </row>
    <row r="59" spans="2:9" x14ac:dyDescent="0.3">
      <c r="B59" s="25"/>
      <c r="C59" s="38" t="s">
        <v>82</v>
      </c>
      <c r="D59" s="57">
        <f t="shared" si="0"/>
        <v>21600000</v>
      </c>
      <c r="E59" s="145" t="s">
        <v>129</v>
      </c>
      <c r="F59" s="148">
        <f>SUM(F60)</f>
        <v>9000000</v>
      </c>
      <c r="G59" s="140">
        <v>0.41666666666666669</v>
      </c>
      <c r="H59" s="37"/>
    </row>
    <row r="60" spans="2:9" x14ac:dyDescent="0.3">
      <c r="B60" s="180">
        <v>25</v>
      </c>
      <c r="C60" s="12" t="s">
        <v>44</v>
      </c>
      <c r="D60" s="220">
        <v>21600000</v>
      </c>
      <c r="E60" s="221" t="s">
        <v>132</v>
      </c>
      <c r="F60" s="189">
        <v>9000000</v>
      </c>
      <c r="G60" s="222">
        <v>0.41666666666666669</v>
      </c>
      <c r="H60" s="223" t="s">
        <v>105</v>
      </c>
    </row>
    <row r="61" spans="2:9" ht="27.6" x14ac:dyDescent="0.3">
      <c r="B61" s="181"/>
      <c r="C61" s="13" t="s">
        <v>26</v>
      </c>
      <c r="D61" s="220"/>
      <c r="E61" s="220"/>
      <c r="F61" s="189"/>
      <c r="G61" s="222"/>
      <c r="H61" s="223"/>
    </row>
    <row r="62" spans="2:9" x14ac:dyDescent="0.3">
      <c r="B62" s="18"/>
      <c r="C62" s="87" t="s">
        <v>74</v>
      </c>
      <c r="D62" s="58">
        <f>SUM(D63)</f>
        <v>44250000</v>
      </c>
      <c r="E62" s="99" t="s">
        <v>129</v>
      </c>
      <c r="F62" s="111">
        <f>F63</f>
        <v>0</v>
      </c>
      <c r="G62" s="141">
        <v>0</v>
      </c>
      <c r="H62" s="21"/>
    </row>
    <row r="63" spans="2:9" ht="27.6" x14ac:dyDescent="0.3">
      <c r="B63" s="65"/>
      <c r="C63" s="35" t="s">
        <v>66</v>
      </c>
      <c r="D63" s="57">
        <f>SUM(D64:D67)</f>
        <v>44250000</v>
      </c>
      <c r="E63" s="145" t="s">
        <v>129</v>
      </c>
      <c r="F63" s="148">
        <f>SUM(F64:F67)</f>
        <v>0</v>
      </c>
      <c r="G63" s="142">
        <v>0</v>
      </c>
      <c r="H63" s="37"/>
    </row>
    <row r="64" spans="2:9" x14ac:dyDescent="0.3">
      <c r="B64" s="180">
        <v>26</v>
      </c>
      <c r="C64" s="12" t="s">
        <v>121</v>
      </c>
      <c r="D64" s="220">
        <v>44250000</v>
      </c>
      <c r="E64" s="221" t="s">
        <v>106</v>
      </c>
      <c r="F64" s="189">
        <f>APRIL!G66</f>
        <v>0</v>
      </c>
      <c r="G64" s="231">
        <v>0</v>
      </c>
      <c r="H64" s="223" t="s">
        <v>117</v>
      </c>
    </row>
    <row r="65" spans="2:20" ht="69" x14ac:dyDescent="0.3">
      <c r="B65" s="181"/>
      <c r="C65" s="13" t="s">
        <v>27</v>
      </c>
      <c r="D65" s="220"/>
      <c r="E65" s="220"/>
      <c r="F65" s="189"/>
      <c r="G65" s="231"/>
      <c r="H65" s="223"/>
    </row>
    <row r="66" spans="2:20" x14ac:dyDescent="0.3">
      <c r="B66" s="180">
        <v>27</v>
      </c>
      <c r="C66" s="12" t="s">
        <v>46</v>
      </c>
      <c r="D66" s="220">
        <v>0</v>
      </c>
      <c r="E66" s="221" t="s">
        <v>106</v>
      </c>
      <c r="F66" s="189">
        <f>APRIL!G68</f>
        <v>0</v>
      </c>
      <c r="G66" s="231">
        <v>0</v>
      </c>
      <c r="H66" s="223" t="s">
        <v>118</v>
      </c>
    </row>
    <row r="67" spans="2:20" ht="41.4" x14ac:dyDescent="0.3">
      <c r="B67" s="181"/>
      <c r="C67" s="13" t="s">
        <v>29</v>
      </c>
      <c r="D67" s="220"/>
      <c r="E67" s="220"/>
      <c r="F67" s="189"/>
      <c r="G67" s="231"/>
      <c r="H67" s="223"/>
    </row>
    <row r="68" spans="2:20" x14ac:dyDescent="0.3">
      <c r="B68" s="41"/>
      <c r="C68" s="42" t="s">
        <v>75</v>
      </c>
      <c r="D68" s="52">
        <f t="shared" ref="D68:D69" si="1">SUM(D69)</f>
        <v>1200000</v>
      </c>
      <c r="E68" s="99" t="s">
        <v>129</v>
      </c>
      <c r="F68" s="112">
        <f>F69</f>
        <v>450000</v>
      </c>
      <c r="G68" s="143">
        <v>0.375</v>
      </c>
      <c r="H68" s="43"/>
    </row>
    <row r="69" spans="2:20" ht="27.6" x14ac:dyDescent="0.3">
      <c r="B69" s="25"/>
      <c r="C69" s="39" t="s">
        <v>67</v>
      </c>
      <c r="D69" s="57">
        <f t="shared" si="1"/>
        <v>1200000</v>
      </c>
      <c r="E69" s="145" t="s">
        <v>129</v>
      </c>
      <c r="F69" s="148">
        <f>SUM(F70)</f>
        <v>450000</v>
      </c>
      <c r="G69" s="144">
        <v>0.375</v>
      </c>
      <c r="H69" s="37"/>
    </row>
    <row r="70" spans="2:20" x14ac:dyDescent="0.3">
      <c r="B70" s="180">
        <v>28</v>
      </c>
      <c r="C70" s="17" t="s">
        <v>47</v>
      </c>
      <c r="D70" s="220">
        <v>1200000</v>
      </c>
      <c r="E70" s="221" t="s">
        <v>132</v>
      </c>
      <c r="F70" s="189">
        <v>450000</v>
      </c>
      <c r="G70" s="231">
        <v>0.375</v>
      </c>
      <c r="H70" s="223" t="s">
        <v>105</v>
      </c>
      <c r="I70" s="168"/>
      <c r="J70" s="167"/>
      <c r="K70" s="167"/>
      <c r="L70" s="167"/>
      <c r="M70" s="167"/>
      <c r="N70" s="167"/>
      <c r="O70" s="167"/>
      <c r="P70" s="167"/>
      <c r="Q70" s="167"/>
      <c r="R70" s="167"/>
      <c r="S70" s="167"/>
      <c r="T70" s="167"/>
    </row>
    <row r="71" spans="2:20" x14ac:dyDescent="0.3">
      <c r="B71" s="181"/>
      <c r="C71" s="13" t="s">
        <v>28</v>
      </c>
      <c r="D71" s="220"/>
      <c r="E71" s="220"/>
      <c r="F71" s="189"/>
      <c r="G71" s="231"/>
      <c r="H71" s="223"/>
      <c r="I71" s="169"/>
      <c r="J71" s="167"/>
      <c r="K71" s="167"/>
      <c r="L71" s="167"/>
      <c r="M71" s="167"/>
      <c r="N71" s="167"/>
      <c r="O71" s="167"/>
      <c r="P71" s="167"/>
      <c r="Q71" s="167"/>
      <c r="R71" s="167"/>
      <c r="S71" s="167"/>
      <c r="T71" s="167"/>
    </row>
    <row r="72" spans="2:20" x14ac:dyDescent="0.3">
      <c r="B72" s="161"/>
      <c r="C72" s="163" t="s">
        <v>58</v>
      </c>
      <c r="D72" s="232">
        <f>D7+D46+D52+D58+D62+D68</f>
        <v>2768176092</v>
      </c>
      <c r="E72" s="232"/>
      <c r="F72" s="233">
        <f>F68+F62+F58+F52+F46+F7</f>
        <v>1317428996</v>
      </c>
      <c r="G72" s="235">
        <v>0.47591950519598664</v>
      </c>
      <c r="H72" s="223"/>
    </row>
    <row r="73" spans="2:20" ht="6.6" customHeight="1" thickBot="1" x14ac:dyDescent="0.35">
      <c r="B73" s="162"/>
      <c r="C73" s="164"/>
      <c r="D73" s="232"/>
      <c r="E73" s="232"/>
      <c r="F73" s="234"/>
      <c r="G73" s="236"/>
      <c r="H73" s="223"/>
    </row>
    <row r="74" spans="2:20" ht="8.4" customHeight="1" x14ac:dyDescent="0.3">
      <c r="B74" s="127"/>
      <c r="E74" s="2"/>
      <c r="F74" s="61"/>
    </row>
    <row r="75" spans="2:20" x14ac:dyDescent="0.3">
      <c r="E75" s="4"/>
      <c r="F75" s="45"/>
      <c r="H75" s="101" t="s">
        <v>137</v>
      </c>
      <c r="I75" s="5"/>
      <c r="J75" s="5"/>
      <c r="K75" s="5"/>
    </row>
    <row r="76" spans="2:20" x14ac:dyDescent="0.3">
      <c r="E76" s="4"/>
      <c r="F76" s="61"/>
      <c r="H76" s="101" t="s">
        <v>56</v>
      </c>
      <c r="I76" s="5"/>
      <c r="J76" s="5"/>
      <c r="K76" s="5"/>
    </row>
    <row r="77" spans="2:20" x14ac:dyDescent="0.3">
      <c r="E77" s="4"/>
      <c r="H77" s="102"/>
      <c r="I77" s="126"/>
      <c r="J77" s="126"/>
      <c r="K77" s="126"/>
    </row>
    <row r="78" spans="2:20" x14ac:dyDescent="0.3">
      <c r="E78" s="4"/>
      <c r="F78" s="45"/>
      <c r="H78" s="102"/>
      <c r="I78" s="126"/>
      <c r="J78" s="126"/>
      <c r="K78" s="126"/>
    </row>
    <row r="79" spans="2:20" x14ac:dyDescent="0.3">
      <c r="E79" s="78"/>
      <c r="H79" s="102"/>
      <c r="I79" s="126"/>
      <c r="J79" s="126"/>
      <c r="K79" s="126"/>
    </row>
    <row r="80" spans="2:20" x14ac:dyDescent="0.3">
      <c r="E80" s="4"/>
      <c r="H80" s="103" t="s">
        <v>138</v>
      </c>
      <c r="I80" s="104"/>
      <c r="J80" s="104"/>
      <c r="K80" s="104"/>
    </row>
    <row r="81" spans="1:20" ht="10.5" customHeight="1" x14ac:dyDescent="0.3">
      <c r="E81" s="78"/>
      <c r="H81" s="101" t="s">
        <v>79</v>
      </c>
      <c r="I81" s="5"/>
      <c r="J81" s="5"/>
      <c r="K81" s="5"/>
    </row>
    <row r="82" spans="1:20" x14ac:dyDescent="0.3">
      <c r="E82" s="4"/>
      <c r="H82" s="101" t="s">
        <v>60</v>
      </c>
      <c r="I82" s="5"/>
      <c r="J82" s="5"/>
      <c r="K82" s="5"/>
    </row>
    <row r="83" spans="1:20" x14ac:dyDescent="0.3">
      <c r="B83" s="127"/>
      <c r="E83" s="2"/>
    </row>
    <row r="84" spans="1:20" x14ac:dyDescent="0.3">
      <c r="B84" s="127"/>
      <c r="E84" s="2"/>
    </row>
    <row r="87" spans="1:20" x14ac:dyDescent="0.3">
      <c r="E87" s="77"/>
    </row>
    <row r="88" spans="1:20" x14ac:dyDescent="0.3">
      <c r="E88" s="77"/>
    </row>
    <row r="89" spans="1:20" x14ac:dyDescent="0.3">
      <c r="E89" s="77"/>
    </row>
    <row r="90" spans="1:20" x14ac:dyDescent="0.3">
      <c r="E90" s="77"/>
    </row>
    <row r="91" spans="1:20" x14ac:dyDescent="0.3">
      <c r="E91" s="77"/>
    </row>
    <row r="92" spans="1:20" s="8" customFormat="1" x14ac:dyDescent="0.3">
      <c r="A92"/>
      <c r="B92"/>
      <c r="C92"/>
      <c r="D92"/>
      <c r="E92" s="77"/>
      <c r="F92"/>
      <c r="G92" s="131"/>
      <c r="H92"/>
      <c r="I92"/>
      <c r="J92"/>
      <c r="K92"/>
      <c r="L92"/>
      <c r="M92"/>
      <c r="N92"/>
      <c r="O92"/>
      <c r="P92"/>
      <c r="Q92"/>
      <c r="R92"/>
      <c r="S92"/>
      <c r="T92"/>
    </row>
    <row r="93" spans="1:20" s="8" customFormat="1" x14ac:dyDescent="0.3">
      <c r="A93"/>
      <c r="B93"/>
      <c r="C93"/>
      <c r="D93"/>
      <c r="E93" s="77"/>
      <c r="F93"/>
      <c r="G93" s="131"/>
      <c r="H93"/>
      <c r="I93"/>
      <c r="J93"/>
      <c r="K93"/>
      <c r="L93"/>
      <c r="M93"/>
      <c r="N93"/>
      <c r="O93"/>
      <c r="P93"/>
      <c r="Q93"/>
      <c r="R93"/>
      <c r="S93"/>
      <c r="T93"/>
    </row>
  </sheetData>
  <mergeCells count="173">
    <mergeCell ref="H72:H73"/>
    <mergeCell ref="B72:B73"/>
    <mergeCell ref="C72:C73"/>
    <mergeCell ref="D72:D73"/>
    <mergeCell ref="E72:E73"/>
    <mergeCell ref="F72:F73"/>
    <mergeCell ref="G72:G73"/>
    <mergeCell ref="O70:O71"/>
    <mergeCell ref="P70:P71"/>
    <mergeCell ref="B70:B71"/>
    <mergeCell ref="D70:D71"/>
    <mergeCell ref="E70:E71"/>
    <mergeCell ref="F70:F71"/>
    <mergeCell ref="G70:G71"/>
    <mergeCell ref="H70:H71"/>
    <mergeCell ref="Q70:Q71"/>
    <mergeCell ref="R70:R71"/>
    <mergeCell ref="S70:S71"/>
    <mergeCell ref="T70:T71"/>
    <mergeCell ref="I70:I71"/>
    <mergeCell ref="J70:J71"/>
    <mergeCell ref="K70:K71"/>
    <mergeCell ref="L70:L71"/>
    <mergeCell ref="M70:M71"/>
    <mergeCell ref="N70:N71"/>
    <mergeCell ref="B66:B67"/>
    <mergeCell ref="D66:D67"/>
    <mergeCell ref="E66:E67"/>
    <mergeCell ref="F66:F67"/>
    <mergeCell ref="G66:G67"/>
    <mergeCell ref="H66:H67"/>
    <mergeCell ref="B64:B65"/>
    <mergeCell ref="D64:D65"/>
    <mergeCell ref="E64:E65"/>
    <mergeCell ref="F64:F65"/>
    <mergeCell ref="G64:G65"/>
    <mergeCell ref="H64:H65"/>
    <mergeCell ref="B60:B61"/>
    <mergeCell ref="D60:D61"/>
    <mergeCell ref="E60:E61"/>
    <mergeCell ref="F60:F61"/>
    <mergeCell ref="G60:G61"/>
    <mergeCell ref="H60:H61"/>
    <mergeCell ref="B56:B57"/>
    <mergeCell ref="D56:D57"/>
    <mergeCell ref="E56:E57"/>
    <mergeCell ref="F56:F57"/>
    <mergeCell ref="G56:G57"/>
    <mergeCell ref="H56:H57"/>
    <mergeCell ref="B54:B55"/>
    <mergeCell ref="D54:D55"/>
    <mergeCell ref="E54:E55"/>
    <mergeCell ref="F54:F55"/>
    <mergeCell ref="G54:G55"/>
    <mergeCell ref="H54:H55"/>
    <mergeCell ref="B50:B51"/>
    <mergeCell ref="D50:D51"/>
    <mergeCell ref="E50:E51"/>
    <mergeCell ref="F50:F51"/>
    <mergeCell ref="G50:G51"/>
    <mergeCell ref="H50:H51"/>
    <mergeCell ref="B48:B49"/>
    <mergeCell ref="D48:D49"/>
    <mergeCell ref="E48:E49"/>
    <mergeCell ref="F48:F49"/>
    <mergeCell ref="G48:G49"/>
    <mergeCell ref="H48:H49"/>
    <mergeCell ref="B44:B45"/>
    <mergeCell ref="D44:D45"/>
    <mergeCell ref="E44:E45"/>
    <mergeCell ref="F44:F45"/>
    <mergeCell ref="G44:G45"/>
    <mergeCell ref="H44:H45"/>
    <mergeCell ref="B42:B43"/>
    <mergeCell ref="D42:D43"/>
    <mergeCell ref="E42:E43"/>
    <mergeCell ref="F42:F43"/>
    <mergeCell ref="G42:G43"/>
    <mergeCell ref="H42:H43"/>
    <mergeCell ref="B40:B41"/>
    <mergeCell ref="D40:D41"/>
    <mergeCell ref="E40:E41"/>
    <mergeCell ref="F40:F41"/>
    <mergeCell ref="G40:G41"/>
    <mergeCell ref="H40:H41"/>
    <mergeCell ref="B37:B38"/>
    <mergeCell ref="D37:D38"/>
    <mergeCell ref="E37:E38"/>
    <mergeCell ref="F37:F38"/>
    <mergeCell ref="G37:G38"/>
    <mergeCell ref="H37:H38"/>
    <mergeCell ref="B35:B36"/>
    <mergeCell ref="D35:D36"/>
    <mergeCell ref="E35:E36"/>
    <mergeCell ref="F35:F36"/>
    <mergeCell ref="G35:G36"/>
    <mergeCell ref="H35:H36"/>
    <mergeCell ref="B32:B33"/>
    <mergeCell ref="D32:D33"/>
    <mergeCell ref="E32:E33"/>
    <mergeCell ref="F32:F33"/>
    <mergeCell ref="G32:G33"/>
    <mergeCell ref="H32:H33"/>
    <mergeCell ref="B30:B31"/>
    <mergeCell ref="D30:D31"/>
    <mergeCell ref="E30:E31"/>
    <mergeCell ref="F30:F31"/>
    <mergeCell ref="G30:G31"/>
    <mergeCell ref="H30:H31"/>
    <mergeCell ref="B28:B29"/>
    <mergeCell ref="D28:D29"/>
    <mergeCell ref="E28:E29"/>
    <mergeCell ref="F28:F29"/>
    <mergeCell ref="G28:G29"/>
    <mergeCell ref="H28:H29"/>
    <mergeCell ref="B26:B27"/>
    <mergeCell ref="D26:D27"/>
    <mergeCell ref="E26:E27"/>
    <mergeCell ref="F26:F27"/>
    <mergeCell ref="G26:G27"/>
    <mergeCell ref="H26:H27"/>
    <mergeCell ref="B24:B25"/>
    <mergeCell ref="D24:D25"/>
    <mergeCell ref="E24:E25"/>
    <mergeCell ref="F24:F25"/>
    <mergeCell ref="G24:G25"/>
    <mergeCell ref="H24:H25"/>
    <mergeCell ref="B22:B23"/>
    <mergeCell ref="D22:D23"/>
    <mergeCell ref="E22:E23"/>
    <mergeCell ref="F22:F23"/>
    <mergeCell ref="G22:G23"/>
    <mergeCell ref="H22:H23"/>
    <mergeCell ref="B20:B21"/>
    <mergeCell ref="D20:D21"/>
    <mergeCell ref="E20:E21"/>
    <mergeCell ref="F20:F21"/>
    <mergeCell ref="G20:G21"/>
    <mergeCell ref="H20:H21"/>
    <mergeCell ref="B17:B18"/>
    <mergeCell ref="D17:D18"/>
    <mergeCell ref="E17:E18"/>
    <mergeCell ref="F17:F18"/>
    <mergeCell ref="G17:G18"/>
    <mergeCell ref="H17:H18"/>
    <mergeCell ref="B14:B15"/>
    <mergeCell ref="D14:D15"/>
    <mergeCell ref="E14:E15"/>
    <mergeCell ref="F14:F15"/>
    <mergeCell ref="G14:G15"/>
    <mergeCell ref="H14:H15"/>
    <mergeCell ref="B11:B12"/>
    <mergeCell ref="D11:D12"/>
    <mergeCell ref="E11:E12"/>
    <mergeCell ref="F11:F12"/>
    <mergeCell ref="G11:G12"/>
    <mergeCell ref="H11:H12"/>
    <mergeCell ref="B9:B10"/>
    <mergeCell ref="D9:D10"/>
    <mergeCell ref="E9:E10"/>
    <mergeCell ref="F9:F10"/>
    <mergeCell ref="G9:G10"/>
    <mergeCell ref="H9:H10"/>
    <mergeCell ref="B1:H1"/>
    <mergeCell ref="B2:H2"/>
    <mergeCell ref="B3:C3"/>
    <mergeCell ref="B4:B6"/>
    <mergeCell ref="C4:C6"/>
    <mergeCell ref="D4:D6"/>
    <mergeCell ref="E4:E6"/>
    <mergeCell ref="F4:F6"/>
    <mergeCell ref="G4:G6"/>
    <mergeCell ref="H4:H6"/>
  </mergeCells>
  <pageMargins left="1.1023622047244095" right="0.70866141732283472" top="0.74803149606299213" bottom="0.74803149606299213" header="0.31496062992125984" footer="0.31496062992125984"/>
  <pageSetup paperSize="5" scale="85" orientation="landscape" horizontalDpi="300" verticalDpi="300" r:id="rId1"/>
  <rowBreaks count="2" manualBreakCount="2">
    <brk id="38" max="7" man="1"/>
    <brk id="63" max="7"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3821-08A0-413B-8C80-2B685CBA856D}">
  <dimension ref="A1:Z95"/>
  <sheetViews>
    <sheetView view="pageBreakPreview" zoomScale="78" zoomScaleNormal="75" zoomScaleSheetLayoutView="78" workbookViewId="0">
      <pane xSplit="3" ySplit="2" topLeftCell="D69" activePane="bottomRight" state="frozen"/>
      <selection pane="topRight" activeCell="C1" sqref="C1"/>
      <selection pane="bottomLeft" activeCell="A3" sqref="A3"/>
      <selection pane="bottomRight" activeCell="G52" sqref="G52:G53"/>
    </sheetView>
  </sheetViews>
  <sheetFormatPr defaultRowHeight="14.4" x14ac:dyDescent="0.3"/>
  <cols>
    <col min="1" max="1" width="5.2187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5.6640625"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124"/>
      <c r="H3" s="124"/>
      <c r="I3" s="124"/>
      <c r="J3" s="124"/>
      <c r="K3" s="124"/>
      <c r="L3" s="124"/>
      <c r="M3" s="124"/>
      <c r="N3" s="124"/>
    </row>
    <row r="4" spans="1:19" x14ac:dyDescent="0.3">
      <c r="B4" s="213" t="s">
        <v>127</v>
      </c>
      <c r="C4" s="213"/>
      <c r="D4" s="1"/>
      <c r="E4" s="6"/>
      <c r="F4" s="6"/>
      <c r="G4" s="3"/>
      <c r="H4" s="124"/>
      <c r="I4" s="124"/>
      <c r="J4" s="124"/>
      <c r="K4" s="124"/>
      <c r="L4" s="124"/>
      <c r="M4" s="124"/>
      <c r="N4" s="124"/>
    </row>
    <row r="5" spans="1:19" x14ac:dyDescent="0.3">
      <c r="B5" s="213"/>
      <c r="C5" s="213"/>
      <c r="D5" s="1"/>
      <c r="E5" s="6"/>
      <c r="F5" s="6"/>
      <c r="G5" s="3"/>
      <c r="H5" s="124"/>
      <c r="I5" s="124"/>
      <c r="J5" s="124"/>
      <c r="K5" s="124"/>
      <c r="L5" s="124"/>
      <c r="M5" s="124"/>
      <c r="N5" s="124"/>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2684346092</v>
      </c>
      <c r="E9" s="51">
        <f>I9</f>
        <v>1014470807</v>
      </c>
      <c r="F9" s="51">
        <f>F10+F15+F18+F21+F36+F41</f>
        <v>281174789</v>
      </c>
      <c r="G9" s="51">
        <f>G10+G15+G18+G21+G36+G41</f>
        <v>1295645596</v>
      </c>
      <c r="H9" s="50">
        <f>G9/D9</f>
        <v>0.48266711951239705</v>
      </c>
      <c r="I9" s="51">
        <f>I10+I15+I18+I21+I36+I41</f>
        <v>1014470807</v>
      </c>
      <c r="J9" s="51">
        <f t="shared" ref="J9:K9" si="0">J10+J15+J18+J21+J36+J41</f>
        <v>281174789</v>
      </c>
      <c r="K9" s="51">
        <f t="shared" si="0"/>
        <v>1295645596</v>
      </c>
      <c r="L9" s="50">
        <f>K9/D9</f>
        <v>0.48266711951239705</v>
      </c>
      <c r="M9" s="72">
        <f>K9/D9</f>
        <v>0.48266711951239705</v>
      </c>
      <c r="N9" s="41"/>
      <c r="O9"/>
      <c r="P9"/>
      <c r="Q9"/>
      <c r="R9"/>
      <c r="S9"/>
    </row>
    <row r="10" spans="1:19" ht="30" customHeight="1" x14ac:dyDescent="0.3">
      <c r="B10" s="25"/>
      <c r="C10" s="26" t="s">
        <v>61</v>
      </c>
      <c r="D10" s="54">
        <f>SUM(D11:D14)</f>
        <v>6915400</v>
      </c>
      <c r="E10" s="54">
        <f>SUM(E11:E14)</f>
        <v>751750</v>
      </c>
      <c r="F10" s="54">
        <f>SUM(F11:F14)</f>
        <v>0</v>
      </c>
      <c r="G10" s="54">
        <f>SUM(G11:G14)</f>
        <v>751750</v>
      </c>
      <c r="H10" s="29">
        <f>G10/D10</f>
        <v>0.10870665471267027</v>
      </c>
      <c r="I10" s="54">
        <f>SUM(I11:I14)</f>
        <v>751750</v>
      </c>
      <c r="J10" s="54">
        <f>SUM(J11:J14)</f>
        <v>0</v>
      </c>
      <c r="K10" s="54">
        <f>SUM(K11:K14)</f>
        <v>751750</v>
      </c>
      <c r="L10" s="47">
        <f>K10/D10</f>
        <v>0.10870665471267027</v>
      </c>
      <c r="M10" s="67">
        <f>K10/D10</f>
        <v>0.10870665471267027</v>
      </c>
      <c r="N10" s="28"/>
    </row>
    <row r="11" spans="1:19" x14ac:dyDescent="0.3">
      <c r="B11" s="180">
        <v>1</v>
      </c>
      <c r="C11" s="12" t="s">
        <v>30</v>
      </c>
      <c r="D11" s="195">
        <v>5093700</v>
      </c>
      <c r="E11" s="188">
        <v>751750</v>
      </c>
      <c r="F11" s="188"/>
      <c r="G11" s="174">
        <f>E11+F11</f>
        <v>751750</v>
      </c>
      <c r="H11" s="177">
        <f>G11/D11</f>
        <v>0.14758427076584801</v>
      </c>
      <c r="I11" s="174">
        <f>E11</f>
        <v>751750</v>
      </c>
      <c r="J11" s="174">
        <f>F11</f>
        <v>0</v>
      </c>
      <c r="K11" s="174">
        <f>I11+J11</f>
        <v>751750</v>
      </c>
      <c r="L11" s="175">
        <f>K11/D11</f>
        <v>0.14758427076584801</v>
      </c>
      <c r="M11" s="185">
        <f>L11</f>
        <v>0.14758427076584801</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1821700</v>
      </c>
      <c r="E13" s="188"/>
      <c r="F13" s="206"/>
      <c r="G13" s="174">
        <f>E13+F13</f>
        <v>0</v>
      </c>
      <c r="H13" s="177">
        <f>G13/D13</f>
        <v>0</v>
      </c>
      <c r="I13" s="174">
        <f>E13</f>
        <v>0</v>
      </c>
      <c r="J13" s="174">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752913680</v>
      </c>
      <c r="F15" s="55">
        <f>SUM(F16)</f>
        <v>236481189</v>
      </c>
      <c r="G15" s="55">
        <f>SUM(G16)</f>
        <v>989394869</v>
      </c>
      <c r="H15" s="66">
        <f>G15/D15</f>
        <v>0.48001977573352012</v>
      </c>
      <c r="I15" s="56">
        <f>SUM(I16)</f>
        <v>752913680</v>
      </c>
      <c r="J15" s="56">
        <f>SUM(J16)</f>
        <v>236481189</v>
      </c>
      <c r="K15" s="56">
        <f>SUM(K16)</f>
        <v>989394869</v>
      </c>
      <c r="L15" s="29">
        <f>K15/D15</f>
        <v>0.48001977573352012</v>
      </c>
      <c r="M15" s="30">
        <f>K15/D15</f>
        <v>0.48001977573352012</v>
      </c>
      <c r="N15" s="31"/>
    </row>
    <row r="16" spans="1:19" x14ac:dyDescent="0.3">
      <c r="B16" s="180">
        <v>3</v>
      </c>
      <c r="C16" s="12" t="s">
        <v>33</v>
      </c>
      <c r="D16" s="187">
        <v>2061154392</v>
      </c>
      <c r="E16" s="203">
        <v>752913680</v>
      </c>
      <c r="F16" s="203">
        <f>989394869-E16</f>
        <v>236481189</v>
      </c>
      <c r="G16" s="174">
        <f>E16+F16</f>
        <v>989394869</v>
      </c>
      <c r="H16" s="177">
        <f>G16/D16</f>
        <v>0.48001977573352012</v>
      </c>
      <c r="I16" s="170">
        <f>E16</f>
        <v>752913680</v>
      </c>
      <c r="J16" s="170">
        <f>F16</f>
        <v>236481189</v>
      </c>
      <c r="K16" s="170">
        <f>I16+J16</f>
        <v>989394869</v>
      </c>
      <c r="L16" s="175">
        <f>K16/D16</f>
        <v>0.48001977573352012</v>
      </c>
      <c r="M16" s="185">
        <f>L16</f>
        <v>0.48001977573352012</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50000000</v>
      </c>
      <c r="F18" s="57">
        <f>SUM(F19)</f>
        <v>0</v>
      </c>
      <c r="G18" s="57">
        <f>SUM(G19)</f>
        <v>50000000</v>
      </c>
      <c r="H18" s="48">
        <f>G18/D18</f>
        <v>1</v>
      </c>
      <c r="I18" s="57">
        <f>SUM(I19)</f>
        <v>50000000</v>
      </c>
      <c r="J18" s="57">
        <f>SUM(J19)</f>
        <v>0</v>
      </c>
      <c r="K18" s="57">
        <f>SUM(K19)</f>
        <v>50000000</v>
      </c>
      <c r="L18" s="47">
        <f>K18/D18</f>
        <v>1</v>
      </c>
      <c r="M18" s="47">
        <f>K18/D18</f>
        <v>1</v>
      </c>
      <c r="N18" s="34"/>
    </row>
    <row r="19" spans="2:14" x14ac:dyDescent="0.3">
      <c r="B19" s="192">
        <v>4</v>
      </c>
      <c r="C19" s="15" t="s">
        <v>49</v>
      </c>
      <c r="D19" s="182">
        <v>50000000</v>
      </c>
      <c r="E19" s="172">
        <v>50000000</v>
      </c>
      <c r="F19" s="172">
        <v>0</v>
      </c>
      <c r="G19" s="170">
        <f>E19+F19</f>
        <v>50000000</v>
      </c>
      <c r="H19" s="202">
        <f>G19/D19</f>
        <v>1</v>
      </c>
      <c r="I19" s="170">
        <f>SUM(E19)</f>
        <v>50000000</v>
      </c>
      <c r="J19" s="170">
        <f>F19</f>
        <v>0</v>
      </c>
      <c r="K19" s="170">
        <f>I19+J19</f>
        <v>50000000</v>
      </c>
      <c r="L19" s="201">
        <f>K19/D19</f>
        <v>1</v>
      </c>
      <c r="M19" s="202">
        <f>L19</f>
        <v>1</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62222000</v>
      </c>
      <c r="E21" s="57">
        <f>SUM(E22:E35)</f>
        <v>47012700</v>
      </c>
      <c r="F21" s="57">
        <f>SUM(F22:F35)</f>
        <v>4086200</v>
      </c>
      <c r="G21" s="57">
        <f>SUM(G22:G35)</f>
        <v>51098900</v>
      </c>
      <c r="H21" s="66">
        <f>G21/D21</f>
        <v>0.82123525441162293</v>
      </c>
      <c r="I21" s="57">
        <f>SUM(I22:I35)</f>
        <v>47012700</v>
      </c>
      <c r="J21" s="57">
        <f>SUM(J22:J35)</f>
        <v>4086200</v>
      </c>
      <c r="K21" s="57">
        <f>SUM(K22:K35)</f>
        <v>51098900</v>
      </c>
      <c r="L21" s="29">
        <f>K21/D21</f>
        <v>0.82123525441162293</v>
      </c>
      <c r="M21" s="30">
        <f>K21/D21</f>
        <v>0.82123525441162293</v>
      </c>
      <c r="N21" s="36"/>
    </row>
    <row r="22" spans="2:14" x14ac:dyDescent="0.3">
      <c r="B22" s="180">
        <v>5</v>
      </c>
      <c r="C22" s="17" t="s">
        <v>34</v>
      </c>
      <c r="D22" s="182">
        <v>6234000</v>
      </c>
      <c r="E22" s="172">
        <v>2749000</v>
      </c>
      <c r="F22" s="172">
        <v>960000</v>
      </c>
      <c r="G22" s="174">
        <f>E22+F22</f>
        <v>3709000</v>
      </c>
      <c r="H22" s="199">
        <f>G22/D22</f>
        <v>0.59496310555020848</v>
      </c>
      <c r="I22" s="189">
        <f>E22</f>
        <v>2749000</v>
      </c>
      <c r="J22" s="189">
        <f>F22</f>
        <v>960000</v>
      </c>
      <c r="K22" s="189">
        <f>I22+J22</f>
        <v>3709000</v>
      </c>
      <c r="L22" s="197">
        <f>K22/D22</f>
        <v>0.59496310555020848</v>
      </c>
      <c r="M22" s="198">
        <f>L22</f>
        <v>0.59496310555020848</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7096300</v>
      </c>
      <c r="E24" s="188">
        <v>3238200</v>
      </c>
      <c r="F24" s="188">
        <f>1576000</f>
        <v>1576000</v>
      </c>
      <c r="G24" s="174">
        <f>E24+F24</f>
        <v>4814200</v>
      </c>
      <c r="H24" s="199">
        <f>G24/D24</f>
        <v>0.67840987556895849</v>
      </c>
      <c r="I24" s="189">
        <f>E24</f>
        <v>3238200</v>
      </c>
      <c r="J24" s="189">
        <f t="shared" ref="J24" si="1">F24</f>
        <v>1576000</v>
      </c>
      <c r="K24" s="189">
        <f t="shared" ref="K24" si="2">I24+J24</f>
        <v>4814200</v>
      </c>
      <c r="L24" s="197">
        <f>K24/D24</f>
        <v>0.67840987556895849</v>
      </c>
      <c r="M24" s="198">
        <f>L24</f>
        <v>0.67840987556895849</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6663500</v>
      </c>
      <c r="E26" s="172">
        <v>2980900</v>
      </c>
      <c r="F26" s="172">
        <v>1135200</v>
      </c>
      <c r="G26" s="170">
        <f>E26+F26</f>
        <v>4116100</v>
      </c>
      <c r="H26" s="177">
        <f>G26/D26</f>
        <v>0.6177084114954603</v>
      </c>
      <c r="I26" s="189">
        <f t="shared" ref="I26:J26" si="3">E26</f>
        <v>2980900</v>
      </c>
      <c r="J26" s="189">
        <f t="shared" si="3"/>
        <v>1135200</v>
      </c>
      <c r="K26" s="189">
        <f t="shared" ref="K26" si="4">I26+J26</f>
        <v>4116100</v>
      </c>
      <c r="L26" s="175">
        <f>K26/D26</f>
        <v>0.6177084114954603</v>
      </c>
      <c r="M26" s="196">
        <f>L26</f>
        <v>0.6177084114954603</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3348200</v>
      </c>
      <c r="E28" s="188">
        <v>929200</v>
      </c>
      <c r="F28" s="188">
        <v>300000</v>
      </c>
      <c r="G28" s="174">
        <f>E28+F28</f>
        <v>1229200</v>
      </c>
      <c r="H28" s="177">
        <f>G28/D28</f>
        <v>0.36712263305656773</v>
      </c>
      <c r="I28" s="189">
        <f t="shared" ref="I28:J28" si="5">E28</f>
        <v>929200</v>
      </c>
      <c r="J28" s="189">
        <f t="shared" si="5"/>
        <v>300000</v>
      </c>
      <c r="K28" s="189">
        <f t="shared" ref="K28" si="6">I28+J28</f>
        <v>1229200</v>
      </c>
      <c r="L28" s="175">
        <f>K28/D28</f>
        <v>0.36712263305656773</v>
      </c>
      <c r="M28" s="185">
        <f>L28</f>
        <v>0.36712263305656773</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575000</v>
      </c>
      <c r="F30" s="188">
        <f>690000-E30</f>
        <v>115000</v>
      </c>
      <c r="G30" s="174">
        <f>E30+F30</f>
        <v>690000</v>
      </c>
      <c r="H30" s="185">
        <f>G30/D30</f>
        <v>0.5</v>
      </c>
      <c r="I30" s="189">
        <f t="shared" ref="I30:J30" si="7">E30</f>
        <v>575000</v>
      </c>
      <c r="J30" s="189">
        <f t="shared" si="7"/>
        <v>115000</v>
      </c>
      <c r="K30" s="189">
        <f t="shared" ref="K30" si="8">I30+J30</f>
        <v>690000</v>
      </c>
      <c r="L30" s="184">
        <f>K30/D30</f>
        <v>0.5</v>
      </c>
      <c r="M30" s="185">
        <f>L30</f>
        <v>0.5</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3000000</v>
      </c>
      <c r="E32" s="188">
        <v>2250000</v>
      </c>
      <c r="F32" s="188">
        <f>2250000-E32</f>
        <v>0</v>
      </c>
      <c r="G32" s="174">
        <f>E32+F32</f>
        <v>2250000</v>
      </c>
      <c r="H32" s="185">
        <f>G32/D32</f>
        <v>0.75</v>
      </c>
      <c r="I32" s="189">
        <f t="shared" ref="I32:J32" si="9">E32</f>
        <v>2250000</v>
      </c>
      <c r="J32" s="189">
        <f t="shared" si="9"/>
        <v>0</v>
      </c>
      <c r="K32" s="189">
        <f t="shared" ref="K32" si="10">I32+J32</f>
        <v>2250000</v>
      </c>
      <c r="L32" s="184">
        <f>K32/D32</f>
        <v>0.75</v>
      </c>
      <c r="M32" s="185">
        <f>L32</f>
        <v>0.75</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34500000</v>
      </c>
      <c r="E34" s="188">
        <v>34290400</v>
      </c>
      <c r="F34" s="188">
        <f>34290400-E34</f>
        <v>0</v>
      </c>
      <c r="G34" s="174">
        <f>E34+F34</f>
        <v>34290400</v>
      </c>
      <c r="H34" s="185">
        <f>G34/D34</f>
        <v>0.99392463768115946</v>
      </c>
      <c r="I34" s="189">
        <f t="shared" ref="I34:J34" si="11">E34</f>
        <v>34290400</v>
      </c>
      <c r="J34" s="189">
        <f t="shared" si="11"/>
        <v>0</v>
      </c>
      <c r="K34" s="189">
        <f t="shared" ref="K34" si="12">I34+J34</f>
        <v>34290400</v>
      </c>
      <c r="L34" s="184">
        <f>K34/D34</f>
        <v>0.99392463768115946</v>
      </c>
      <c r="M34" s="185">
        <f>L34</f>
        <v>0.99392463768115946</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155175677</v>
      </c>
      <c r="F36" s="57">
        <f>SUM(F37:F40)</f>
        <v>37760400</v>
      </c>
      <c r="G36" s="57">
        <f>SUM(G37:G40)</f>
        <v>192936077</v>
      </c>
      <c r="H36" s="29">
        <f>G36/D36</f>
        <v>0.41236230871163548</v>
      </c>
      <c r="I36" s="57">
        <f>SUM(I37:I40)</f>
        <v>155175677</v>
      </c>
      <c r="J36" s="57">
        <f>SUM(J37:J40)</f>
        <v>37760400</v>
      </c>
      <c r="K36" s="57">
        <f>SUM(K37:K40)</f>
        <v>192936077</v>
      </c>
      <c r="L36" s="29">
        <f t="shared" ref="L36:L37" si="13">K36/D36</f>
        <v>0.41236230871163548</v>
      </c>
      <c r="M36" s="29">
        <f>K36/D36</f>
        <v>0.41236230871163548</v>
      </c>
      <c r="N36" s="34"/>
    </row>
    <row r="37" spans="2:14" x14ac:dyDescent="0.3">
      <c r="B37" s="180">
        <v>15</v>
      </c>
      <c r="C37" s="12" t="s">
        <v>39</v>
      </c>
      <c r="D37" s="195">
        <v>46200000</v>
      </c>
      <c r="E37" s="188">
        <v>14615677</v>
      </c>
      <c r="F37" s="188">
        <f>17236077-E37</f>
        <v>2620400</v>
      </c>
      <c r="G37" s="174">
        <f>E37+F37</f>
        <v>17236077</v>
      </c>
      <c r="H37" s="185">
        <f>G37/D37</f>
        <v>0.37307525974025973</v>
      </c>
      <c r="I37" s="174">
        <f>E37</f>
        <v>14615677</v>
      </c>
      <c r="J37" s="188">
        <f>F37</f>
        <v>2620400</v>
      </c>
      <c r="K37" s="174">
        <f>I37+J37</f>
        <v>17236077</v>
      </c>
      <c r="L37" s="184">
        <f t="shared" si="13"/>
        <v>0.37307525974025973</v>
      </c>
      <c r="M37" s="185">
        <f>L37</f>
        <v>0.37307525974025973</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140560000</v>
      </c>
      <c r="F39" s="172">
        <f>175700000-E39</f>
        <v>35140000</v>
      </c>
      <c r="G39" s="170">
        <f>E39+F39</f>
        <v>175700000</v>
      </c>
      <c r="H39" s="177">
        <f>G39/D39</f>
        <v>0.41666666666666669</v>
      </c>
      <c r="I39" s="174">
        <f>E39</f>
        <v>140560000</v>
      </c>
      <c r="J39" s="188">
        <f>F39</f>
        <v>35140000</v>
      </c>
      <c r="K39" s="170">
        <f>I39+J39</f>
        <v>175700000</v>
      </c>
      <c r="L39" s="175">
        <f>K39/D39</f>
        <v>0.41666666666666669</v>
      </c>
      <c r="M39" s="177">
        <f>L39</f>
        <v>0.41666666666666669</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8617000</v>
      </c>
      <c r="F41" s="57">
        <f>SUM(F42:F47)</f>
        <v>2847000</v>
      </c>
      <c r="G41" s="54">
        <f>SUM(G42:G47)</f>
        <v>11464000</v>
      </c>
      <c r="H41" s="29">
        <v>0.1027</v>
      </c>
      <c r="I41" s="54">
        <f>SUM(I42:I47)</f>
        <v>8617000</v>
      </c>
      <c r="J41" s="54">
        <f>SUM(J42:J47)</f>
        <v>2847000</v>
      </c>
      <c r="K41" s="54">
        <f>SUM(K42:K47)</f>
        <v>11464000</v>
      </c>
      <c r="L41" s="29">
        <f>K41/D41</f>
        <v>0.31691007151486</v>
      </c>
      <c r="M41" s="30">
        <f>K41/D41</f>
        <v>0.31691007151486</v>
      </c>
      <c r="N41" s="31"/>
    </row>
    <row r="42" spans="2:14" x14ac:dyDescent="0.3">
      <c r="B42" s="180">
        <v>17</v>
      </c>
      <c r="C42" s="12" t="s">
        <v>32</v>
      </c>
      <c r="D42" s="187">
        <v>21430000</v>
      </c>
      <c r="E42" s="188">
        <v>8217000</v>
      </c>
      <c r="F42" s="172">
        <f>10064000-E42</f>
        <v>1847000</v>
      </c>
      <c r="G42" s="174">
        <f>E42+F42</f>
        <v>10064000</v>
      </c>
      <c r="H42" s="185">
        <f>G42/D42</f>
        <v>0.46962202519832014</v>
      </c>
      <c r="I42" s="174">
        <f>E42</f>
        <v>8217000</v>
      </c>
      <c r="J42" s="188">
        <f>F42</f>
        <v>1847000</v>
      </c>
      <c r="K42" s="174">
        <f>I42+J42</f>
        <v>10064000</v>
      </c>
      <c r="L42" s="184">
        <f>K42/D42</f>
        <v>0.46962202519832014</v>
      </c>
      <c r="M42" s="185">
        <f>L42</f>
        <v>0.46962202519832014</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400000</v>
      </c>
      <c r="F44" s="172">
        <f>1400000-E44</f>
        <v>1000000</v>
      </c>
      <c r="G44" s="170">
        <f>E44+F44</f>
        <v>1400000</v>
      </c>
      <c r="H44" s="177">
        <f>G44/D44</f>
        <v>0.33816425120772947</v>
      </c>
      <c r="I44" s="174">
        <f t="shared" ref="I44:J44" si="14">E44</f>
        <v>400000</v>
      </c>
      <c r="J44" s="188">
        <f t="shared" si="14"/>
        <v>1000000</v>
      </c>
      <c r="K44" s="170">
        <f>I44+J44</f>
        <v>1400000</v>
      </c>
      <c r="L44" s="175">
        <f>K44/D44</f>
        <v>0.33816425120772947</v>
      </c>
      <c r="M44" s="177">
        <f>L44</f>
        <v>0.33816425120772947</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v>0</v>
      </c>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2980000</v>
      </c>
      <c r="E48" s="52">
        <f>SUM(E49)</f>
        <v>782800</v>
      </c>
      <c r="F48" s="52">
        <f>SUM(F49)</f>
        <v>550600</v>
      </c>
      <c r="G48" s="58">
        <f>SUM(G49)</f>
        <v>1333400</v>
      </c>
      <c r="H48" s="44">
        <f>G48/D48</f>
        <v>0.44744966442953021</v>
      </c>
      <c r="I48" s="58">
        <f>SUM(I49)</f>
        <v>782800</v>
      </c>
      <c r="J48" s="58">
        <f>SUM(J49)</f>
        <v>550600</v>
      </c>
      <c r="K48" s="58">
        <f>SUM(K49)</f>
        <v>1333400</v>
      </c>
      <c r="L48" s="44">
        <f>K48/D48</f>
        <v>0.44744966442953021</v>
      </c>
      <c r="M48" s="20">
        <f>K48/D48</f>
        <v>0.44744966442953021</v>
      </c>
      <c r="N48" s="21"/>
    </row>
    <row r="49" spans="2:15" ht="41.25" customHeight="1" x14ac:dyDescent="0.3">
      <c r="B49" s="32"/>
      <c r="C49" s="35" t="s">
        <v>64</v>
      </c>
      <c r="D49" s="57">
        <f>SUM(D50:D53)</f>
        <v>2980000</v>
      </c>
      <c r="E49" s="57">
        <f>SUM(E50:E53)</f>
        <v>782800</v>
      </c>
      <c r="F49" s="57">
        <f>SUM(F50:F53)</f>
        <v>550600</v>
      </c>
      <c r="G49" s="57">
        <f>SUM(G50:G53)</f>
        <v>1333400</v>
      </c>
      <c r="H49" s="48">
        <f>G49/D49</f>
        <v>0.44744966442953021</v>
      </c>
      <c r="I49" s="57">
        <f>SUM(I50:I53)</f>
        <v>782800</v>
      </c>
      <c r="J49" s="57">
        <f>SUM(J50:J53)</f>
        <v>550600</v>
      </c>
      <c r="K49" s="57">
        <f>SUM(K50:K53)</f>
        <v>1333400</v>
      </c>
      <c r="L49" s="47">
        <f>K49/D49</f>
        <v>0.44744966442953021</v>
      </c>
      <c r="M49" s="29">
        <f>K49/D49</f>
        <v>0.44744966442953021</v>
      </c>
      <c r="N49" s="37"/>
    </row>
    <row r="50" spans="2:15" x14ac:dyDescent="0.3">
      <c r="B50" s="192">
        <v>20</v>
      </c>
      <c r="C50" s="17" t="s">
        <v>41</v>
      </c>
      <c r="D50" s="182">
        <v>752000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2228000</v>
      </c>
      <c r="E52" s="188">
        <v>782800</v>
      </c>
      <c r="F52" s="188">
        <v>550600</v>
      </c>
      <c r="G52" s="174">
        <f>E52+F52</f>
        <v>1333400</v>
      </c>
      <c r="H52" s="185">
        <f>G52/D52</f>
        <v>0.5984739676840215</v>
      </c>
      <c r="I52" s="170">
        <f>E52</f>
        <v>782800</v>
      </c>
      <c r="J52" s="170">
        <f>F52</f>
        <v>550600</v>
      </c>
      <c r="K52" s="174">
        <f>I52+J52</f>
        <v>1333400</v>
      </c>
      <c r="L52" s="184">
        <f>K52/D52</f>
        <v>0.5984739676840215</v>
      </c>
      <c r="M52" s="185">
        <f>L52</f>
        <v>0.5984739676840215</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13800000</v>
      </c>
      <c r="E54" s="53">
        <f t="shared" ref="E54:M54" si="16">E55</f>
        <v>11000000</v>
      </c>
      <c r="F54" s="53">
        <f t="shared" si="16"/>
        <v>0</v>
      </c>
      <c r="G54" s="53">
        <f t="shared" si="16"/>
        <v>11000000</v>
      </c>
      <c r="H54" s="80">
        <f>H55</f>
        <v>0.79710144927536231</v>
      </c>
      <c r="I54" s="53">
        <f t="shared" si="16"/>
        <v>11000000</v>
      </c>
      <c r="J54" s="53">
        <f t="shared" si="16"/>
        <v>0</v>
      </c>
      <c r="K54" s="53">
        <f t="shared" si="16"/>
        <v>11000000</v>
      </c>
      <c r="L54" s="80">
        <f>L55</f>
        <v>0.79710144927536231</v>
      </c>
      <c r="M54" s="80">
        <f t="shared" si="16"/>
        <v>0.79710144927536231</v>
      </c>
      <c r="N54" s="24"/>
    </row>
    <row r="55" spans="2:15" ht="17.25" customHeight="1" x14ac:dyDescent="0.3">
      <c r="B55" s="27"/>
      <c r="C55" s="35" t="s">
        <v>65</v>
      </c>
      <c r="D55" s="57">
        <f>SUM(D56:D59)</f>
        <v>13800000</v>
      </c>
      <c r="E55" s="57">
        <f>SUM(E56:E59)</f>
        <v>11000000</v>
      </c>
      <c r="F55" s="57">
        <f>SUM(F56:F59)</f>
        <v>0</v>
      </c>
      <c r="G55" s="57">
        <f>SUM(G56:G59)</f>
        <v>11000000</v>
      </c>
      <c r="H55" s="48">
        <f>G55/D55</f>
        <v>0.79710144927536231</v>
      </c>
      <c r="I55" s="57">
        <f>SUM(I56:I59)</f>
        <v>11000000</v>
      </c>
      <c r="J55" s="57">
        <f>SUM(J56:J59)</f>
        <v>0</v>
      </c>
      <c r="K55" s="57">
        <f>SUM(K56:K59)</f>
        <v>11000000</v>
      </c>
      <c r="L55" s="47">
        <f>K55/D55</f>
        <v>0.79710144927536231</v>
      </c>
      <c r="M55" s="47">
        <f>SUM(L55)</f>
        <v>0.79710144927536231</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4800000</v>
      </c>
      <c r="E58" s="188">
        <v>2000000</v>
      </c>
      <c r="F58" s="188"/>
      <c r="G58" s="174">
        <f>E58+F58</f>
        <v>2000000</v>
      </c>
      <c r="H58" s="185">
        <f>G58/D58</f>
        <v>0.41666666666666669</v>
      </c>
      <c r="I58" s="189">
        <f>E58</f>
        <v>2000000</v>
      </c>
      <c r="J58" s="188">
        <f>F58</f>
        <v>0</v>
      </c>
      <c r="K58" s="174">
        <f>I58+J58</f>
        <v>2000000</v>
      </c>
      <c r="L58" s="184">
        <f>K58/D58</f>
        <v>0.41666666666666669</v>
      </c>
      <c r="M58" s="185">
        <f>L58</f>
        <v>0.41666666666666669</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7200000</v>
      </c>
      <c r="F60" s="58">
        <f t="shared" si="17"/>
        <v>1800000</v>
      </c>
      <c r="G60" s="58">
        <f t="shared" si="17"/>
        <v>9000000</v>
      </c>
      <c r="H60" s="46">
        <f>G60/D60</f>
        <v>0.41666666666666669</v>
      </c>
      <c r="I60" s="58">
        <f t="shared" ref="I60:K61" si="18">SUM(I61)</f>
        <v>7200000</v>
      </c>
      <c r="J60" s="58">
        <f t="shared" si="18"/>
        <v>1800000</v>
      </c>
      <c r="K60" s="58">
        <f t="shared" si="18"/>
        <v>9000000</v>
      </c>
      <c r="L60" s="44">
        <f>K60/D60</f>
        <v>0.41666666666666669</v>
      </c>
      <c r="M60" s="23">
        <f>SUM(L60)</f>
        <v>0.41666666666666669</v>
      </c>
      <c r="N60" s="21"/>
    </row>
    <row r="61" spans="2:15" ht="25.5" customHeight="1" x14ac:dyDescent="0.3">
      <c r="B61" s="25"/>
      <c r="C61" s="38" t="s">
        <v>82</v>
      </c>
      <c r="D61" s="59">
        <f t="shared" si="17"/>
        <v>21600000</v>
      </c>
      <c r="E61" s="60">
        <f t="shared" si="17"/>
        <v>7200000</v>
      </c>
      <c r="F61" s="59">
        <f t="shared" si="17"/>
        <v>1800000</v>
      </c>
      <c r="G61" s="57">
        <f t="shared" si="17"/>
        <v>9000000</v>
      </c>
      <c r="H61" s="47">
        <f>G61/D61</f>
        <v>0.41666666666666669</v>
      </c>
      <c r="I61" s="59">
        <f t="shared" si="18"/>
        <v>7200000</v>
      </c>
      <c r="J61" s="59">
        <f t="shared" si="18"/>
        <v>1800000</v>
      </c>
      <c r="K61" s="59">
        <f t="shared" si="18"/>
        <v>9000000</v>
      </c>
      <c r="L61" s="47">
        <f>K61/D61</f>
        <v>0.41666666666666669</v>
      </c>
      <c r="M61" s="30">
        <f>SUM(L61)</f>
        <v>0.41666666666666669</v>
      </c>
      <c r="N61" s="31"/>
    </row>
    <row r="62" spans="2:15" x14ac:dyDescent="0.3">
      <c r="B62" s="180">
        <v>25</v>
      </c>
      <c r="C62" s="12" t="s">
        <v>44</v>
      </c>
      <c r="D62" s="187">
        <v>21600000</v>
      </c>
      <c r="E62" s="188">
        <v>7200000</v>
      </c>
      <c r="F62" s="188">
        <f>9000000-E62</f>
        <v>1800000</v>
      </c>
      <c r="G62" s="170">
        <f>E62+F62</f>
        <v>9000000</v>
      </c>
      <c r="H62" s="185">
        <f>G62/D62</f>
        <v>0.41666666666666669</v>
      </c>
      <c r="I62" s="174">
        <f>E62</f>
        <v>7200000</v>
      </c>
      <c r="J62" s="188">
        <f>F62</f>
        <v>1800000</v>
      </c>
      <c r="K62" s="174">
        <f>I62+J62</f>
        <v>9000000</v>
      </c>
      <c r="L62" s="184">
        <f>K62/D62</f>
        <v>0.41666666666666669</v>
      </c>
      <c r="M62" s="185">
        <f>L62</f>
        <v>0.41666666666666669</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44250000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44250000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0</v>
      </c>
      <c r="E68" s="188">
        <v>0</v>
      </c>
      <c r="F68" s="188">
        <v>0</v>
      </c>
      <c r="G68" s="174">
        <f>E68+F68</f>
        <v>0</v>
      </c>
      <c r="H68" s="185">
        <v>0</v>
      </c>
      <c r="I68" s="174">
        <f>E68</f>
        <v>0</v>
      </c>
      <c r="J68" s="174">
        <f>F68</f>
        <v>0</v>
      </c>
      <c r="K68" s="174">
        <f>I68+J68</f>
        <v>0</v>
      </c>
      <c r="L68" s="184">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1200000</v>
      </c>
      <c r="E70" s="52">
        <f t="shared" si="19"/>
        <v>450000</v>
      </c>
      <c r="F70" s="52">
        <f t="shared" si="19"/>
        <v>0</v>
      </c>
      <c r="G70" s="52">
        <f t="shared" si="19"/>
        <v>450000</v>
      </c>
      <c r="H70" s="23">
        <f>G70/D70</f>
        <v>0.375</v>
      </c>
      <c r="I70" s="52">
        <f t="shared" ref="I70:K71" si="20">SUM(I71)</f>
        <v>450000</v>
      </c>
      <c r="J70" s="52">
        <f t="shared" si="20"/>
        <v>0</v>
      </c>
      <c r="K70" s="52">
        <f t="shared" si="20"/>
        <v>450000</v>
      </c>
      <c r="L70" s="44">
        <f>K70/D70</f>
        <v>0.375</v>
      </c>
      <c r="M70" s="68">
        <f>SUM(L70)</f>
        <v>0.375</v>
      </c>
      <c r="N70" s="43"/>
    </row>
    <row r="71" spans="2:26" ht="38.25" customHeight="1" x14ac:dyDescent="0.3">
      <c r="B71" s="25"/>
      <c r="C71" s="39" t="s">
        <v>67</v>
      </c>
      <c r="D71" s="60">
        <f t="shared" si="19"/>
        <v>1200000</v>
      </c>
      <c r="E71" s="60">
        <f t="shared" si="19"/>
        <v>450000</v>
      </c>
      <c r="F71" s="60">
        <f t="shared" si="19"/>
        <v>0</v>
      </c>
      <c r="G71" s="60">
        <f t="shared" si="19"/>
        <v>450000</v>
      </c>
      <c r="H71" s="29">
        <f>G71/D71</f>
        <v>0.375</v>
      </c>
      <c r="I71" s="60">
        <f t="shared" si="20"/>
        <v>450000</v>
      </c>
      <c r="J71" s="60">
        <f t="shared" si="20"/>
        <v>0</v>
      </c>
      <c r="K71" s="60">
        <f t="shared" si="20"/>
        <v>450000</v>
      </c>
      <c r="L71" s="47">
        <f>K71/D71</f>
        <v>0.375</v>
      </c>
      <c r="M71" s="29">
        <f>SUM(L71)</f>
        <v>0.375</v>
      </c>
      <c r="N71" s="40"/>
    </row>
    <row r="72" spans="2:26" x14ac:dyDescent="0.3">
      <c r="B72" s="180">
        <v>28</v>
      </c>
      <c r="C72" s="17" t="s">
        <v>47</v>
      </c>
      <c r="D72" s="182">
        <v>1200000</v>
      </c>
      <c r="E72" s="172">
        <v>450000</v>
      </c>
      <c r="F72" s="172"/>
      <c r="G72" s="174">
        <f>E72+F72</f>
        <v>450000</v>
      </c>
      <c r="H72" s="177">
        <f>G72/D72</f>
        <v>0.375</v>
      </c>
      <c r="I72" s="170">
        <f>E72</f>
        <v>450000</v>
      </c>
      <c r="J72" s="172">
        <f>F72</f>
        <v>0</v>
      </c>
      <c r="K72" s="174">
        <f>I72+J72</f>
        <v>450000</v>
      </c>
      <c r="L72" s="175">
        <f>K72/D72</f>
        <v>0.375</v>
      </c>
      <c r="M72" s="177">
        <f>L72</f>
        <v>0.375</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2768176092</v>
      </c>
      <c r="E74" s="165">
        <f>E9+E48+E54+E60+E64+E70</f>
        <v>1033903607</v>
      </c>
      <c r="F74" s="165">
        <f>F9+F48+F54+F60+F64+F70</f>
        <v>283525389</v>
      </c>
      <c r="G74" s="159">
        <f>G9+G48+G54+G60+G64+G70</f>
        <v>1317428996</v>
      </c>
      <c r="H74" s="157">
        <f>G74/D74</f>
        <v>0.47591950519598664</v>
      </c>
      <c r="I74" s="159">
        <f>I9+I48+I54+I60+I64+I70</f>
        <v>1033903607</v>
      </c>
      <c r="J74" s="159">
        <f>J9+J48+J54+J60+J64+J70</f>
        <v>283525389</v>
      </c>
      <c r="K74" s="159">
        <f>K9+K48+K54+K60+K64+K70</f>
        <v>1317428996</v>
      </c>
      <c r="L74" s="157">
        <f>K74/D74</f>
        <v>0.47591950519598664</v>
      </c>
      <c r="M74" s="157">
        <f>K74/D74</f>
        <v>0.47591950519598664</v>
      </c>
      <c r="N74" s="153"/>
    </row>
    <row r="75" spans="2:26" ht="15" thickBot="1" x14ac:dyDescent="0.35">
      <c r="B75" s="162"/>
      <c r="C75" s="164"/>
      <c r="D75" s="160"/>
      <c r="E75" s="166"/>
      <c r="F75" s="166"/>
      <c r="G75" s="160"/>
      <c r="H75" s="158"/>
      <c r="I75" s="160"/>
      <c r="J75" s="160"/>
      <c r="K75" s="160"/>
      <c r="L75" s="158"/>
      <c r="M75" s="158"/>
      <c r="N75" s="154"/>
    </row>
    <row r="76" spans="2:26" x14ac:dyDescent="0.3">
      <c r="B76" s="124"/>
      <c r="D76" s="2"/>
      <c r="E76" s="69"/>
      <c r="F76" s="7"/>
      <c r="G76" s="61"/>
      <c r="L76" s="124"/>
    </row>
    <row r="77" spans="2:26" x14ac:dyDescent="0.3">
      <c r="D77" s="4"/>
      <c r="E77" s="62"/>
      <c r="F77" s="63"/>
      <c r="G77" s="45"/>
      <c r="J77" s="155" t="s">
        <v>128</v>
      </c>
      <c r="K77" s="155"/>
      <c r="L77" s="155"/>
      <c r="M77" s="155"/>
      <c r="N77" s="125"/>
    </row>
    <row r="78" spans="2:26" x14ac:dyDescent="0.3">
      <c r="D78" s="4"/>
      <c r="E78" s="62"/>
      <c r="G78" s="61"/>
      <c r="J78" s="155" t="s">
        <v>56</v>
      </c>
      <c r="K78" s="155"/>
      <c r="L78" s="155"/>
      <c r="M78" s="155"/>
      <c r="N78" s="125"/>
    </row>
    <row r="79" spans="2:26" x14ac:dyDescent="0.3">
      <c r="D79" s="4"/>
      <c r="E79" s="62"/>
      <c r="K79" s="125"/>
      <c r="L79" s="125"/>
      <c r="M79" s="125"/>
      <c r="N79" s="125"/>
    </row>
    <row r="80" spans="2:26" x14ac:dyDescent="0.3">
      <c r="D80" s="4"/>
      <c r="E80" s="70"/>
      <c r="F80" s="62"/>
      <c r="G80" s="45"/>
      <c r="K80" s="125"/>
      <c r="L80" s="125"/>
      <c r="M80" s="125"/>
      <c r="N80" s="125"/>
    </row>
    <row r="81" spans="2:14" x14ac:dyDescent="0.3">
      <c r="D81" s="78"/>
      <c r="K81" s="125"/>
      <c r="L81" s="125"/>
      <c r="M81" s="125"/>
      <c r="N81" s="125"/>
    </row>
    <row r="82" spans="2:14" x14ac:dyDescent="0.3">
      <c r="D82" s="4"/>
      <c r="E82" s="63"/>
      <c r="J82" s="156" t="s">
        <v>59</v>
      </c>
      <c r="K82" s="156"/>
      <c r="L82" s="156"/>
      <c r="M82" s="156"/>
      <c r="N82" s="125"/>
    </row>
    <row r="83" spans="2:14" ht="13.8" customHeight="1" x14ac:dyDescent="0.3">
      <c r="D83" s="78"/>
      <c r="J83" s="155" t="s">
        <v>79</v>
      </c>
      <c r="K83" s="155"/>
      <c r="L83" s="155"/>
      <c r="M83" s="155"/>
      <c r="N83" s="125"/>
    </row>
    <row r="84" spans="2:14" x14ac:dyDescent="0.3">
      <c r="D84" s="4"/>
      <c r="J84" s="155" t="s">
        <v>60</v>
      </c>
      <c r="K84" s="155"/>
      <c r="L84" s="155"/>
      <c r="M84" s="155"/>
      <c r="N84" s="5"/>
    </row>
    <row r="85" spans="2:14" x14ac:dyDescent="0.3">
      <c r="B85" s="124"/>
      <c r="D85" s="2"/>
      <c r="E85" s="71"/>
      <c r="L85" s="124"/>
    </row>
    <row r="86" spans="2:14" x14ac:dyDescent="0.3">
      <c r="B86" s="124"/>
      <c r="D86" s="2"/>
      <c r="E86" s="71"/>
      <c r="L86" s="124"/>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J77:M77"/>
    <mergeCell ref="J78:M78"/>
    <mergeCell ref="J82:M82"/>
    <mergeCell ref="J83:M83"/>
    <mergeCell ref="J84:M84"/>
    <mergeCell ref="H74:H75"/>
    <mergeCell ref="I74:I75"/>
    <mergeCell ref="J74:J75"/>
    <mergeCell ref="K74:K75"/>
    <mergeCell ref="L74:L75"/>
    <mergeCell ref="M74:M75"/>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X72:X73"/>
    <mergeCell ref="Y72:Y73"/>
    <mergeCell ref="Z72:Z73"/>
    <mergeCell ref="O72:O73"/>
    <mergeCell ref="P72:P73"/>
    <mergeCell ref="Q72:Q73"/>
    <mergeCell ref="R72:R73"/>
    <mergeCell ref="S72:S73"/>
    <mergeCell ref="T72:T73"/>
    <mergeCell ref="I68:I69"/>
    <mergeCell ref="J68:J69"/>
    <mergeCell ref="K68:K69"/>
    <mergeCell ref="L68:L69"/>
    <mergeCell ref="M68:M69"/>
    <mergeCell ref="N68:N69"/>
    <mergeCell ref="B68:B69"/>
    <mergeCell ref="D68:D69"/>
    <mergeCell ref="E68:E69"/>
    <mergeCell ref="F68:F69"/>
    <mergeCell ref="G68:G69"/>
    <mergeCell ref="H68:H69"/>
    <mergeCell ref="I66:I67"/>
    <mergeCell ref="J66:J67"/>
    <mergeCell ref="K66:K67"/>
    <mergeCell ref="L66:L67"/>
    <mergeCell ref="M66:M67"/>
    <mergeCell ref="N66:N67"/>
    <mergeCell ref="B66:B67"/>
    <mergeCell ref="D66:D67"/>
    <mergeCell ref="E66:E67"/>
    <mergeCell ref="F66:F67"/>
    <mergeCell ref="G66:G67"/>
    <mergeCell ref="H66:H67"/>
    <mergeCell ref="I62:I63"/>
    <mergeCell ref="J62:J63"/>
    <mergeCell ref="K62:K63"/>
    <mergeCell ref="L62:L63"/>
    <mergeCell ref="M62:M63"/>
    <mergeCell ref="N62:N63"/>
    <mergeCell ref="B62:B63"/>
    <mergeCell ref="D62:D63"/>
    <mergeCell ref="E62:E63"/>
    <mergeCell ref="F62:F63"/>
    <mergeCell ref="G62:G63"/>
    <mergeCell ref="H62:H63"/>
    <mergeCell ref="I58:I59"/>
    <mergeCell ref="J58:J59"/>
    <mergeCell ref="K58:K59"/>
    <mergeCell ref="L58:L59"/>
    <mergeCell ref="M58:M59"/>
    <mergeCell ref="N58:N59"/>
    <mergeCell ref="B58:B59"/>
    <mergeCell ref="D58:D59"/>
    <mergeCell ref="E58:E59"/>
    <mergeCell ref="F58:F59"/>
    <mergeCell ref="G58:G59"/>
    <mergeCell ref="H58:H59"/>
    <mergeCell ref="I56:I57"/>
    <mergeCell ref="J56:J57"/>
    <mergeCell ref="K56:K57"/>
    <mergeCell ref="L56:L57"/>
    <mergeCell ref="M56:M57"/>
    <mergeCell ref="N56:N57"/>
    <mergeCell ref="B56:B57"/>
    <mergeCell ref="D56:D57"/>
    <mergeCell ref="E56:E57"/>
    <mergeCell ref="F56:F57"/>
    <mergeCell ref="G56:G57"/>
    <mergeCell ref="H56:H57"/>
    <mergeCell ref="I52:I53"/>
    <mergeCell ref="J52:J53"/>
    <mergeCell ref="K52:K53"/>
    <mergeCell ref="L52:L53"/>
    <mergeCell ref="M52:M53"/>
    <mergeCell ref="N52:N53"/>
    <mergeCell ref="B52:B53"/>
    <mergeCell ref="D52:D53"/>
    <mergeCell ref="E52:E53"/>
    <mergeCell ref="F52:F53"/>
    <mergeCell ref="G52:G53"/>
    <mergeCell ref="H52:H53"/>
    <mergeCell ref="I50:I51"/>
    <mergeCell ref="J50:J51"/>
    <mergeCell ref="K50:K51"/>
    <mergeCell ref="L50:L51"/>
    <mergeCell ref="M50:M51"/>
    <mergeCell ref="N50:N51"/>
    <mergeCell ref="B50:B51"/>
    <mergeCell ref="D50:D51"/>
    <mergeCell ref="E50:E51"/>
    <mergeCell ref="F50:F51"/>
    <mergeCell ref="G50:G51"/>
    <mergeCell ref="H50:H51"/>
    <mergeCell ref="I46:I47"/>
    <mergeCell ref="J46:J47"/>
    <mergeCell ref="K46:K47"/>
    <mergeCell ref="L46:L47"/>
    <mergeCell ref="M46:M47"/>
    <mergeCell ref="N46:N47"/>
    <mergeCell ref="B46:B47"/>
    <mergeCell ref="D46:D47"/>
    <mergeCell ref="E46:E47"/>
    <mergeCell ref="F46:F47"/>
    <mergeCell ref="G46:G47"/>
    <mergeCell ref="H46:H47"/>
    <mergeCell ref="I44:I45"/>
    <mergeCell ref="J44:J45"/>
    <mergeCell ref="K44:K45"/>
    <mergeCell ref="L44:L45"/>
    <mergeCell ref="M44:M45"/>
    <mergeCell ref="N44:N45"/>
    <mergeCell ref="B44:B45"/>
    <mergeCell ref="D44:D45"/>
    <mergeCell ref="E44:E45"/>
    <mergeCell ref="F44:F45"/>
    <mergeCell ref="G44:G45"/>
    <mergeCell ref="H44:H45"/>
    <mergeCell ref="I42:I43"/>
    <mergeCell ref="J42:J43"/>
    <mergeCell ref="K42:K43"/>
    <mergeCell ref="L42:L43"/>
    <mergeCell ref="M42:M43"/>
    <mergeCell ref="N42:N43"/>
    <mergeCell ref="B42:B43"/>
    <mergeCell ref="D42:D43"/>
    <mergeCell ref="E42:E43"/>
    <mergeCell ref="F42:F43"/>
    <mergeCell ref="G42:G43"/>
    <mergeCell ref="H42:H43"/>
    <mergeCell ref="I39:I40"/>
    <mergeCell ref="J39:J40"/>
    <mergeCell ref="K39:K40"/>
    <mergeCell ref="L39:L40"/>
    <mergeCell ref="M39:M40"/>
    <mergeCell ref="N39:N40"/>
    <mergeCell ref="B39:B40"/>
    <mergeCell ref="D39:D40"/>
    <mergeCell ref="E39:E40"/>
    <mergeCell ref="F39:F40"/>
    <mergeCell ref="G39:G40"/>
    <mergeCell ref="H39:H40"/>
    <mergeCell ref="I37:I38"/>
    <mergeCell ref="J37:J38"/>
    <mergeCell ref="K37:K38"/>
    <mergeCell ref="L37:L38"/>
    <mergeCell ref="M37:M38"/>
    <mergeCell ref="N37:N38"/>
    <mergeCell ref="B37:B38"/>
    <mergeCell ref="D37:D38"/>
    <mergeCell ref="E37:E38"/>
    <mergeCell ref="F37:F38"/>
    <mergeCell ref="G37:G38"/>
    <mergeCell ref="H37:H38"/>
    <mergeCell ref="I34:I35"/>
    <mergeCell ref="J34:J35"/>
    <mergeCell ref="K34:K35"/>
    <mergeCell ref="L34:L35"/>
    <mergeCell ref="M34:M35"/>
    <mergeCell ref="N34:N35"/>
    <mergeCell ref="B34:B35"/>
    <mergeCell ref="D34:D35"/>
    <mergeCell ref="E34:E35"/>
    <mergeCell ref="F34:F35"/>
    <mergeCell ref="G34:G35"/>
    <mergeCell ref="H34:H35"/>
    <mergeCell ref="I32:I33"/>
    <mergeCell ref="J32:J33"/>
    <mergeCell ref="K32:K33"/>
    <mergeCell ref="L32:L33"/>
    <mergeCell ref="M32:M33"/>
    <mergeCell ref="N32:N33"/>
    <mergeCell ref="B32:B33"/>
    <mergeCell ref="D32:D33"/>
    <mergeCell ref="E32:E33"/>
    <mergeCell ref="F32:F33"/>
    <mergeCell ref="G32:G33"/>
    <mergeCell ref="H32:H33"/>
    <mergeCell ref="I30:I31"/>
    <mergeCell ref="J30:J31"/>
    <mergeCell ref="K30:K31"/>
    <mergeCell ref="L30:L31"/>
    <mergeCell ref="M30:M31"/>
    <mergeCell ref="N30:N31"/>
    <mergeCell ref="B30:B31"/>
    <mergeCell ref="D30:D31"/>
    <mergeCell ref="E30:E31"/>
    <mergeCell ref="F30:F31"/>
    <mergeCell ref="G30:G31"/>
    <mergeCell ref="H30:H31"/>
    <mergeCell ref="I28:I29"/>
    <mergeCell ref="J28:J29"/>
    <mergeCell ref="K28:K29"/>
    <mergeCell ref="L28:L29"/>
    <mergeCell ref="M28:M29"/>
    <mergeCell ref="N28:N29"/>
    <mergeCell ref="B28:B29"/>
    <mergeCell ref="D28:D29"/>
    <mergeCell ref="E28:E29"/>
    <mergeCell ref="F28:F29"/>
    <mergeCell ref="G28:G29"/>
    <mergeCell ref="H28:H29"/>
    <mergeCell ref="I26:I27"/>
    <mergeCell ref="J26:J27"/>
    <mergeCell ref="K26:K27"/>
    <mergeCell ref="L26:L27"/>
    <mergeCell ref="M26:M27"/>
    <mergeCell ref="N26:N27"/>
    <mergeCell ref="B26:B27"/>
    <mergeCell ref="D26:D27"/>
    <mergeCell ref="E26:E27"/>
    <mergeCell ref="F26:F27"/>
    <mergeCell ref="G26:G27"/>
    <mergeCell ref="H26:H27"/>
    <mergeCell ref="I24:I25"/>
    <mergeCell ref="J24:J25"/>
    <mergeCell ref="K24:K25"/>
    <mergeCell ref="L24:L25"/>
    <mergeCell ref="M24:M25"/>
    <mergeCell ref="N24:N25"/>
    <mergeCell ref="B24:B25"/>
    <mergeCell ref="D24:D25"/>
    <mergeCell ref="E24:E25"/>
    <mergeCell ref="F24:F25"/>
    <mergeCell ref="G24:G25"/>
    <mergeCell ref="H24:H25"/>
    <mergeCell ref="I22:I23"/>
    <mergeCell ref="J22:J23"/>
    <mergeCell ref="K22:K23"/>
    <mergeCell ref="L22:L23"/>
    <mergeCell ref="M22:M23"/>
    <mergeCell ref="N22:N23"/>
    <mergeCell ref="B22:B23"/>
    <mergeCell ref="D22:D23"/>
    <mergeCell ref="E22:E23"/>
    <mergeCell ref="F22:F23"/>
    <mergeCell ref="G22:G23"/>
    <mergeCell ref="H22:H23"/>
    <mergeCell ref="I19:I20"/>
    <mergeCell ref="J19:J20"/>
    <mergeCell ref="K19:K20"/>
    <mergeCell ref="L19:L20"/>
    <mergeCell ref="M19:M20"/>
    <mergeCell ref="N19:N20"/>
    <mergeCell ref="B19:B20"/>
    <mergeCell ref="D19:D20"/>
    <mergeCell ref="E19:E20"/>
    <mergeCell ref="F19:F20"/>
    <mergeCell ref="G19:G20"/>
    <mergeCell ref="H19:H20"/>
    <mergeCell ref="I16:I17"/>
    <mergeCell ref="J16:J17"/>
    <mergeCell ref="K16:K17"/>
    <mergeCell ref="L16:L17"/>
    <mergeCell ref="M16:M17"/>
    <mergeCell ref="N16:N17"/>
    <mergeCell ref="B16:B17"/>
    <mergeCell ref="D16:D17"/>
    <mergeCell ref="E16:E17"/>
    <mergeCell ref="F16:F17"/>
    <mergeCell ref="G16:G17"/>
    <mergeCell ref="H16:H17"/>
    <mergeCell ref="I13:I14"/>
    <mergeCell ref="J13:J14"/>
    <mergeCell ref="K13:K14"/>
    <mergeCell ref="L13:L14"/>
    <mergeCell ref="M13:M14"/>
    <mergeCell ref="N13:N14"/>
    <mergeCell ref="B13:B14"/>
    <mergeCell ref="D13:D14"/>
    <mergeCell ref="E13:E14"/>
    <mergeCell ref="F13:F14"/>
    <mergeCell ref="G13:G14"/>
    <mergeCell ref="H13:H14"/>
    <mergeCell ref="I11:I12"/>
    <mergeCell ref="J11:J12"/>
    <mergeCell ref="K11:K12"/>
    <mergeCell ref="L11:L12"/>
    <mergeCell ref="M11:M12"/>
    <mergeCell ref="N11:N12"/>
    <mergeCell ref="B11:B12"/>
    <mergeCell ref="D11:D12"/>
    <mergeCell ref="E11:E12"/>
    <mergeCell ref="F11:F12"/>
    <mergeCell ref="G11:G12"/>
    <mergeCell ref="H11:H12"/>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s>
  <pageMargins left="1.1023622047244095" right="0.70866141732283472" top="0.74803149606299213" bottom="0.74803149606299213" header="0.31496062992125984" footer="0.31496062992125984"/>
  <pageSetup paperSize="5" scale="66" orientation="landscape" horizontalDpi="300" verticalDpi="300" r:id="rId1"/>
  <rowBreaks count="2" manualBreakCount="2">
    <brk id="35" max="14" man="1"/>
    <brk id="59" max="14"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CBEB-0311-42AE-94BD-249ACA63DA26}">
  <dimension ref="A1:Z95"/>
  <sheetViews>
    <sheetView view="pageBreakPreview" zoomScale="78" zoomScaleNormal="75" zoomScaleSheetLayoutView="78" workbookViewId="0">
      <pane xSplit="3" ySplit="2" topLeftCell="E65" activePane="bottomRight" state="frozen"/>
      <selection pane="topRight" activeCell="C1" sqref="C1"/>
      <selection pane="bottomLeft" activeCell="A3" sqref="A3"/>
      <selection pane="bottomRight" activeCell="L9" sqref="L9:L75"/>
    </sheetView>
  </sheetViews>
  <sheetFormatPr defaultRowHeight="14.4" x14ac:dyDescent="0.3"/>
  <cols>
    <col min="1" max="1" width="8.3320312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0.5546875" bestFit="1"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123"/>
      <c r="H3" s="123"/>
      <c r="I3" s="123"/>
      <c r="J3" s="123"/>
      <c r="K3" s="123"/>
      <c r="L3" s="123"/>
      <c r="M3" s="123"/>
      <c r="N3" s="123"/>
    </row>
    <row r="4" spans="1:19" x14ac:dyDescent="0.3">
      <c r="B4" s="213" t="s">
        <v>125</v>
      </c>
      <c r="C4" s="213"/>
      <c r="D4" s="1"/>
      <c r="E4" s="6"/>
      <c r="F4" s="6"/>
      <c r="G4" s="3"/>
      <c r="H4" s="123"/>
      <c r="I4" s="123"/>
      <c r="J4" s="123"/>
      <c r="K4" s="123"/>
      <c r="L4" s="123"/>
      <c r="M4" s="123"/>
      <c r="N4" s="123"/>
    </row>
    <row r="5" spans="1:19" x14ac:dyDescent="0.3">
      <c r="B5" s="213"/>
      <c r="C5" s="213"/>
      <c r="D5" s="1"/>
      <c r="E5" s="6"/>
      <c r="F5" s="6"/>
      <c r="G5" s="3"/>
      <c r="H5" s="123"/>
      <c r="I5" s="123"/>
      <c r="J5" s="123"/>
      <c r="K5" s="123"/>
      <c r="L5" s="123"/>
      <c r="M5" s="123"/>
      <c r="N5" s="123"/>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2684346092</v>
      </c>
      <c r="E9" s="51">
        <f>I9</f>
        <v>785720458</v>
      </c>
      <c r="F9" s="51">
        <f>F10+F15+F18+F21+F36+F41</f>
        <v>228750349</v>
      </c>
      <c r="G9" s="51">
        <f>G10+G15+G18+G21+G36+G41</f>
        <v>1014470807</v>
      </c>
      <c r="H9" s="50">
        <f>G9/D9</f>
        <v>0.37792101771949904</v>
      </c>
      <c r="I9" s="51">
        <f>I10+I15+I18+I21+I36+I41</f>
        <v>785720458</v>
      </c>
      <c r="J9" s="51">
        <f t="shared" ref="J9:K9" si="0">J10+J15+J18+J21+J36+J41</f>
        <v>228750349</v>
      </c>
      <c r="K9" s="51">
        <f t="shared" si="0"/>
        <v>1014470807</v>
      </c>
      <c r="L9" s="50">
        <f>K9/D9</f>
        <v>0.37792101771949904</v>
      </c>
      <c r="M9" s="72">
        <f>K9/D9</f>
        <v>0.37792101771949904</v>
      </c>
      <c r="N9" s="41"/>
      <c r="O9"/>
      <c r="P9"/>
      <c r="Q9"/>
      <c r="R9"/>
      <c r="S9"/>
    </row>
    <row r="10" spans="1:19" ht="30" customHeight="1" x14ac:dyDescent="0.3">
      <c r="B10" s="25"/>
      <c r="C10" s="26" t="s">
        <v>61</v>
      </c>
      <c r="D10" s="54">
        <f>SUM(D11:D14)</f>
        <v>6915400</v>
      </c>
      <c r="E10" s="54">
        <f>SUM(E11:E14)</f>
        <v>0</v>
      </c>
      <c r="F10" s="54">
        <f>SUM(F11:F14)</f>
        <v>751750</v>
      </c>
      <c r="G10" s="54">
        <f>SUM(G11:G14)</f>
        <v>751750</v>
      </c>
      <c r="H10" s="29">
        <f>G10/D10</f>
        <v>0.10870665471267027</v>
      </c>
      <c r="I10" s="54">
        <f>SUM(I11:I14)</f>
        <v>0</v>
      </c>
      <c r="J10" s="54">
        <f>SUM(J11:J14)</f>
        <v>751750</v>
      </c>
      <c r="K10" s="54">
        <f>SUM(K11:K14)</f>
        <v>751750</v>
      </c>
      <c r="L10" s="47">
        <f>K10/D10</f>
        <v>0.10870665471267027</v>
      </c>
      <c r="M10" s="67">
        <f>K10/D10</f>
        <v>0.10870665471267027</v>
      </c>
      <c r="N10" s="28"/>
    </row>
    <row r="11" spans="1:19" x14ac:dyDescent="0.3">
      <c r="B11" s="180">
        <v>1</v>
      </c>
      <c r="C11" s="12" t="s">
        <v>30</v>
      </c>
      <c r="D11" s="195">
        <v>5093700</v>
      </c>
      <c r="E11" s="188"/>
      <c r="F11" s="188">
        <v>751750</v>
      </c>
      <c r="G11" s="174">
        <f>E11+F11</f>
        <v>751750</v>
      </c>
      <c r="H11" s="177">
        <f>G11/D11</f>
        <v>0.14758427076584801</v>
      </c>
      <c r="I11" s="174">
        <f>E11</f>
        <v>0</v>
      </c>
      <c r="J11" s="174">
        <f>F11</f>
        <v>751750</v>
      </c>
      <c r="K11" s="174">
        <f>I11+J11</f>
        <v>751750</v>
      </c>
      <c r="L11" s="175">
        <f>K11/D11</f>
        <v>0.14758427076584801</v>
      </c>
      <c r="M11" s="185">
        <f>L11</f>
        <v>0.14758427076584801</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1821700</v>
      </c>
      <c r="E13" s="188"/>
      <c r="F13" s="206"/>
      <c r="G13" s="174">
        <f>E13+F13</f>
        <v>0</v>
      </c>
      <c r="H13" s="177">
        <f>G13/D13</f>
        <v>0</v>
      </c>
      <c r="I13" s="174">
        <f>E13</f>
        <v>0</v>
      </c>
      <c r="J13" s="174">
        <v>0</v>
      </c>
      <c r="K13" s="174">
        <f>I13+J13</f>
        <v>0</v>
      </c>
      <c r="L13" s="175">
        <f>K13/D13</f>
        <v>0</v>
      </c>
      <c r="M13" s="185">
        <f>L13</f>
        <v>0</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629923637</v>
      </c>
      <c r="F15" s="55">
        <f>SUM(F16)</f>
        <v>122990043</v>
      </c>
      <c r="G15" s="55">
        <f>SUM(G16)</f>
        <v>752913680</v>
      </c>
      <c r="H15" s="66">
        <f>G15/D15</f>
        <v>0.3652873762985922</v>
      </c>
      <c r="I15" s="56">
        <f>SUM(I16)</f>
        <v>629923637</v>
      </c>
      <c r="J15" s="56">
        <f>SUM(J16)</f>
        <v>122990043</v>
      </c>
      <c r="K15" s="56">
        <f>SUM(K16)</f>
        <v>752913680</v>
      </c>
      <c r="L15" s="29">
        <f>K15/D15</f>
        <v>0.3652873762985922</v>
      </c>
      <c r="M15" s="30">
        <f>K15/D15</f>
        <v>0.3652873762985922</v>
      </c>
      <c r="N15" s="31"/>
    </row>
    <row r="16" spans="1:19" x14ac:dyDescent="0.3">
      <c r="B16" s="180">
        <v>3</v>
      </c>
      <c r="C16" s="12" t="s">
        <v>33</v>
      </c>
      <c r="D16" s="187">
        <v>2061154392</v>
      </c>
      <c r="E16" s="203">
        <v>629923637</v>
      </c>
      <c r="F16" s="203">
        <f>752913680-E16</f>
        <v>122990043</v>
      </c>
      <c r="G16" s="174">
        <f>E16+F16</f>
        <v>752913680</v>
      </c>
      <c r="H16" s="177">
        <f>G16/D16</f>
        <v>0.3652873762985922</v>
      </c>
      <c r="I16" s="170">
        <f>E16</f>
        <v>629923637</v>
      </c>
      <c r="J16" s="170">
        <f>F16</f>
        <v>122990043</v>
      </c>
      <c r="K16" s="170">
        <f>I16+J16</f>
        <v>752913680</v>
      </c>
      <c r="L16" s="175">
        <f>K16/D16</f>
        <v>0.3652873762985922</v>
      </c>
      <c r="M16" s="185">
        <f>L16</f>
        <v>0.3652873762985922</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0</v>
      </c>
      <c r="F18" s="57">
        <f>SUM(F19)</f>
        <v>50000000</v>
      </c>
      <c r="G18" s="57">
        <f>SUM(G19)</f>
        <v>50000000</v>
      </c>
      <c r="H18" s="48">
        <f>G18/D18</f>
        <v>1</v>
      </c>
      <c r="I18" s="57">
        <f>SUM(I19)</f>
        <v>0</v>
      </c>
      <c r="J18" s="57">
        <f>SUM(J19)</f>
        <v>50000000</v>
      </c>
      <c r="K18" s="57">
        <f>SUM(K19)</f>
        <v>50000000</v>
      </c>
      <c r="L18" s="47">
        <f>K18/D18</f>
        <v>1</v>
      </c>
      <c r="M18" s="47">
        <f>K18/D18</f>
        <v>1</v>
      </c>
      <c r="N18" s="34"/>
    </row>
    <row r="19" spans="2:14" x14ac:dyDescent="0.3">
      <c r="B19" s="192">
        <v>4</v>
      </c>
      <c r="C19" s="15" t="s">
        <v>49</v>
      </c>
      <c r="D19" s="182">
        <v>50000000</v>
      </c>
      <c r="E19" s="172"/>
      <c r="F19" s="172">
        <v>50000000</v>
      </c>
      <c r="G19" s="170">
        <f>E19+F19</f>
        <v>50000000</v>
      </c>
      <c r="H19" s="202">
        <f>G19/D19</f>
        <v>1</v>
      </c>
      <c r="I19" s="170">
        <f>SUM(E19)</f>
        <v>0</v>
      </c>
      <c r="J19" s="170">
        <f>F19</f>
        <v>50000000</v>
      </c>
      <c r="K19" s="170">
        <f>I19+J19</f>
        <v>50000000</v>
      </c>
      <c r="L19" s="201">
        <f>K19/D19</f>
        <v>1</v>
      </c>
      <c r="M19" s="202">
        <f>L19</f>
        <v>1</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62222000</v>
      </c>
      <c r="E21" s="57">
        <f>SUM(E22:E35)</f>
        <v>33375400</v>
      </c>
      <c r="F21" s="57">
        <f>SUM(F22:F35)</f>
        <v>13637300</v>
      </c>
      <c r="G21" s="57">
        <f>SUM(G22:G35)</f>
        <v>47012700</v>
      </c>
      <c r="H21" s="66">
        <f>G21/D21</f>
        <v>0.75556394844267305</v>
      </c>
      <c r="I21" s="57">
        <f>SUM(I22:I35)</f>
        <v>33375400</v>
      </c>
      <c r="J21" s="57">
        <f>SUM(J22:J35)</f>
        <v>13637300</v>
      </c>
      <c r="K21" s="57">
        <f>SUM(K22:K35)</f>
        <v>47012700</v>
      </c>
      <c r="L21" s="29">
        <f>K21/D21</f>
        <v>0.75556394844267305</v>
      </c>
      <c r="M21" s="30">
        <f>K21/D21</f>
        <v>0.75556394844267305</v>
      </c>
      <c r="N21" s="36"/>
    </row>
    <row r="22" spans="2:14" x14ac:dyDescent="0.3">
      <c r="B22" s="180">
        <v>5</v>
      </c>
      <c r="C22" s="17" t="s">
        <v>34</v>
      </c>
      <c r="D22" s="182">
        <v>6234000</v>
      </c>
      <c r="E22" s="172"/>
      <c r="F22" s="172">
        <v>2749000</v>
      </c>
      <c r="G22" s="174">
        <f>E22+F22</f>
        <v>2749000</v>
      </c>
      <c r="H22" s="199">
        <f>G22/D22</f>
        <v>0.44096888033365417</v>
      </c>
      <c r="I22" s="189">
        <f>E22</f>
        <v>0</v>
      </c>
      <c r="J22" s="189">
        <f>F22</f>
        <v>2749000</v>
      </c>
      <c r="K22" s="189">
        <f>I22+J22</f>
        <v>2749000</v>
      </c>
      <c r="L22" s="197">
        <f>K22/D22</f>
        <v>0.44096888033365417</v>
      </c>
      <c r="M22" s="198">
        <f>L22</f>
        <v>0.44096888033365417</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7096300</v>
      </c>
      <c r="E24" s="188"/>
      <c r="F24" s="188">
        <f>1037700+2200500</f>
        <v>3238200</v>
      </c>
      <c r="G24" s="174">
        <f>E24+F24</f>
        <v>3238200</v>
      </c>
      <c r="H24" s="199">
        <f>G24/D24</f>
        <v>0.45632230880881586</v>
      </c>
      <c r="I24" s="189">
        <f>E24</f>
        <v>0</v>
      </c>
      <c r="J24" s="189">
        <f t="shared" ref="J24" si="1">F24</f>
        <v>3238200</v>
      </c>
      <c r="K24" s="189">
        <f t="shared" ref="K24" si="2">I24+J24</f>
        <v>3238200</v>
      </c>
      <c r="L24" s="197">
        <f>K24/D24</f>
        <v>0.45632230880881586</v>
      </c>
      <c r="M24" s="198">
        <f>L24</f>
        <v>0.45632230880881586</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6663500</v>
      </c>
      <c r="E26" s="172"/>
      <c r="F26" s="172">
        <v>2980900</v>
      </c>
      <c r="G26" s="170">
        <f>E26+F26</f>
        <v>2980900</v>
      </c>
      <c r="H26" s="177">
        <f>G26/D26</f>
        <v>0.44734749005777746</v>
      </c>
      <c r="I26" s="189">
        <f t="shared" ref="I26:J26" si="3">E26</f>
        <v>0</v>
      </c>
      <c r="J26" s="189">
        <f t="shared" si="3"/>
        <v>2980900</v>
      </c>
      <c r="K26" s="189">
        <f t="shared" ref="K26" si="4">I26+J26</f>
        <v>2980900</v>
      </c>
      <c r="L26" s="175">
        <f>K26/D26</f>
        <v>0.44734749005777746</v>
      </c>
      <c r="M26" s="196">
        <f>L26</f>
        <v>0.44734749005777746</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3348200</v>
      </c>
      <c r="E28" s="188"/>
      <c r="F28" s="188">
        <v>929200</v>
      </c>
      <c r="G28" s="174">
        <f>E28+F28</f>
        <v>929200</v>
      </c>
      <c r="H28" s="177">
        <f>G28/D28</f>
        <v>0.27752225076160325</v>
      </c>
      <c r="I28" s="189">
        <f t="shared" ref="I28:J28" si="5">E28</f>
        <v>0</v>
      </c>
      <c r="J28" s="189">
        <f t="shared" si="5"/>
        <v>929200</v>
      </c>
      <c r="K28" s="189">
        <f t="shared" ref="K28" si="6">I28+J28</f>
        <v>929200</v>
      </c>
      <c r="L28" s="175">
        <f>K28/D28</f>
        <v>0.27752225076160325</v>
      </c>
      <c r="M28" s="185">
        <f>L28</f>
        <v>0.27752225076160325</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345000</v>
      </c>
      <c r="F30" s="188">
        <f>575000-E30</f>
        <v>230000</v>
      </c>
      <c r="G30" s="174">
        <f>E30+F30</f>
        <v>575000</v>
      </c>
      <c r="H30" s="185">
        <f>G30/D30</f>
        <v>0.41666666666666669</v>
      </c>
      <c r="I30" s="189">
        <f t="shared" ref="I30:J30" si="7">E30</f>
        <v>345000</v>
      </c>
      <c r="J30" s="189">
        <f t="shared" si="7"/>
        <v>230000</v>
      </c>
      <c r="K30" s="189">
        <f t="shared" ref="K30" si="8">I30+J30</f>
        <v>575000</v>
      </c>
      <c r="L30" s="184">
        <f>K30/D30</f>
        <v>0.41666666666666669</v>
      </c>
      <c r="M30" s="185">
        <f>L30</f>
        <v>0.41666666666666669</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3000000</v>
      </c>
      <c r="E32" s="188"/>
      <c r="F32" s="188">
        <v>2250000</v>
      </c>
      <c r="G32" s="174">
        <f>E32+F32</f>
        <v>2250000</v>
      </c>
      <c r="H32" s="185">
        <f>G32/D32</f>
        <v>0.75</v>
      </c>
      <c r="I32" s="189">
        <f t="shared" ref="I32:J32" si="9">E32</f>
        <v>0</v>
      </c>
      <c r="J32" s="189">
        <f t="shared" si="9"/>
        <v>2250000</v>
      </c>
      <c r="K32" s="189">
        <f t="shared" ref="K32" si="10">I32+J32</f>
        <v>2250000</v>
      </c>
      <c r="L32" s="184">
        <f>K32/D32</f>
        <v>0.75</v>
      </c>
      <c r="M32" s="185">
        <f>L32</f>
        <v>0.75</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34500000</v>
      </c>
      <c r="E34" s="188">
        <v>33030400</v>
      </c>
      <c r="F34" s="188">
        <f>34290400-E34</f>
        <v>1260000</v>
      </c>
      <c r="G34" s="174">
        <f>E34+F34</f>
        <v>34290400</v>
      </c>
      <c r="H34" s="185">
        <f>G34/D34</f>
        <v>0.99392463768115946</v>
      </c>
      <c r="I34" s="189">
        <f t="shared" ref="I34:J34" si="11">E34</f>
        <v>33030400</v>
      </c>
      <c r="J34" s="189">
        <f t="shared" si="11"/>
        <v>1260000</v>
      </c>
      <c r="K34" s="189">
        <f t="shared" ref="K34" si="12">I34+J34</f>
        <v>34290400</v>
      </c>
      <c r="L34" s="184">
        <f>K34/D34</f>
        <v>0.99392463768115946</v>
      </c>
      <c r="M34" s="185">
        <f>L34</f>
        <v>0.99392463768115946</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115260421</v>
      </c>
      <c r="F36" s="57">
        <f>SUM(F37:F40)</f>
        <v>39915256</v>
      </c>
      <c r="G36" s="57">
        <f>SUM(G37:G40)</f>
        <v>155175677</v>
      </c>
      <c r="H36" s="29">
        <f>G36/D36</f>
        <v>0.33165699965803197</v>
      </c>
      <c r="I36" s="57">
        <f>SUM(I37:I40)</f>
        <v>115260421</v>
      </c>
      <c r="J36" s="57">
        <f>SUM(J37:J40)</f>
        <v>39915256</v>
      </c>
      <c r="K36" s="57">
        <f>SUM(K37:K40)</f>
        <v>155175677</v>
      </c>
      <c r="L36" s="29">
        <f t="shared" ref="L36:L37" si="13">K36/D36</f>
        <v>0.33165699965803197</v>
      </c>
      <c r="M36" s="29">
        <f>K36/D36</f>
        <v>0.33165699965803197</v>
      </c>
      <c r="N36" s="34"/>
    </row>
    <row r="37" spans="2:14" x14ac:dyDescent="0.3">
      <c r="B37" s="180">
        <v>15</v>
      </c>
      <c r="C37" s="12" t="s">
        <v>39</v>
      </c>
      <c r="D37" s="195">
        <v>46200000</v>
      </c>
      <c r="E37" s="188">
        <v>9840421</v>
      </c>
      <c r="F37" s="188">
        <f>14615677-E37</f>
        <v>4775256</v>
      </c>
      <c r="G37" s="174">
        <f>E37+F37</f>
        <v>14615677</v>
      </c>
      <c r="H37" s="185">
        <f>G37/D37</f>
        <v>0.31635664502164501</v>
      </c>
      <c r="I37" s="174">
        <f>E37</f>
        <v>9840421</v>
      </c>
      <c r="J37" s="188">
        <f>F37</f>
        <v>4775256</v>
      </c>
      <c r="K37" s="174">
        <f>I37+J37</f>
        <v>14615677</v>
      </c>
      <c r="L37" s="184">
        <f t="shared" si="13"/>
        <v>0.31635664502164501</v>
      </c>
      <c r="M37" s="185">
        <f>L37</f>
        <v>0.31635664502164501</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105420000</v>
      </c>
      <c r="F39" s="172">
        <f>140560000-E39</f>
        <v>35140000</v>
      </c>
      <c r="G39" s="170">
        <f>E39+F39</f>
        <v>140560000</v>
      </c>
      <c r="H39" s="177">
        <f>G39/D39</f>
        <v>0.33333333333333331</v>
      </c>
      <c r="I39" s="174">
        <f>E39</f>
        <v>105420000</v>
      </c>
      <c r="J39" s="188">
        <f>F39</f>
        <v>35140000</v>
      </c>
      <c r="K39" s="170">
        <f>I39+J39</f>
        <v>140560000</v>
      </c>
      <c r="L39" s="175">
        <f>K39/D39</f>
        <v>0.33333333333333331</v>
      </c>
      <c r="M39" s="177">
        <f>L39</f>
        <v>0.33333333333333331</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7161000</v>
      </c>
      <c r="F41" s="57">
        <f>SUM(F42:F47)</f>
        <v>1456000</v>
      </c>
      <c r="G41" s="54">
        <f>SUM(G42:G47)</f>
        <v>8617000</v>
      </c>
      <c r="H41" s="29">
        <v>0.1027</v>
      </c>
      <c r="I41" s="54">
        <f>SUM(I42:I47)</f>
        <v>7161000</v>
      </c>
      <c r="J41" s="54">
        <f>SUM(J42:J47)</f>
        <v>1456000</v>
      </c>
      <c r="K41" s="54">
        <f>SUM(K42:K47)</f>
        <v>8617000</v>
      </c>
      <c r="L41" s="29">
        <f>K41/D41</f>
        <v>0.23820778840226348</v>
      </c>
      <c r="M41" s="30">
        <f>K41/D41</f>
        <v>0.23820778840226348</v>
      </c>
      <c r="N41" s="31"/>
    </row>
    <row r="42" spans="2:14" x14ac:dyDescent="0.3">
      <c r="B42" s="180">
        <v>17</v>
      </c>
      <c r="C42" s="12" t="s">
        <v>32</v>
      </c>
      <c r="D42" s="187">
        <v>21430000</v>
      </c>
      <c r="E42" s="188">
        <v>6761000</v>
      </c>
      <c r="F42" s="172">
        <f>8217000-E42</f>
        <v>1456000</v>
      </c>
      <c r="G42" s="174">
        <f>E42+F42</f>
        <v>8217000</v>
      </c>
      <c r="H42" s="185">
        <f>G42/D42</f>
        <v>0.38343443770415303</v>
      </c>
      <c r="I42" s="174">
        <f>E42</f>
        <v>6761000</v>
      </c>
      <c r="J42" s="188">
        <f>F42</f>
        <v>1456000</v>
      </c>
      <c r="K42" s="174">
        <f>I42+J42</f>
        <v>8217000</v>
      </c>
      <c r="L42" s="184">
        <f>K42/D42</f>
        <v>0.38343443770415303</v>
      </c>
      <c r="M42" s="185">
        <f>L42</f>
        <v>0.38343443770415303</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400000</v>
      </c>
      <c r="F44" s="172"/>
      <c r="G44" s="170">
        <f>E44+F44</f>
        <v>400000</v>
      </c>
      <c r="H44" s="177">
        <f>G44/D44</f>
        <v>9.6618357487922704E-2</v>
      </c>
      <c r="I44" s="174">
        <f t="shared" ref="I44:J44" si="14">E44</f>
        <v>400000</v>
      </c>
      <c r="J44" s="188">
        <f t="shared" si="14"/>
        <v>0</v>
      </c>
      <c r="K44" s="170">
        <f>I44+J44</f>
        <v>400000</v>
      </c>
      <c r="L44" s="175">
        <f>K44/D44</f>
        <v>9.6618357487922704E-2</v>
      </c>
      <c r="M44" s="177">
        <f>L44</f>
        <v>9.6618357487922704E-2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v>0</v>
      </c>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2980000</v>
      </c>
      <c r="E48" s="52">
        <f>SUM(E49)</f>
        <v>0</v>
      </c>
      <c r="F48" s="52">
        <f>SUM(F49)</f>
        <v>782800</v>
      </c>
      <c r="G48" s="58">
        <f>SUM(G49)</f>
        <v>782800</v>
      </c>
      <c r="H48" s="44">
        <f>G48/D48</f>
        <v>0.26268456375838928</v>
      </c>
      <c r="I48" s="58">
        <f>SUM(I49)</f>
        <v>0</v>
      </c>
      <c r="J48" s="58">
        <f>SUM(J49)</f>
        <v>782800</v>
      </c>
      <c r="K48" s="58">
        <f>SUM(K49)</f>
        <v>782800</v>
      </c>
      <c r="L48" s="44">
        <f>K48/D48</f>
        <v>0.26268456375838928</v>
      </c>
      <c r="M48" s="20">
        <f>K48/D48</f>
        <v>0.26268456375838928</v>
      </c>
      <c r="N48" s="21"/>
    </row>
    <row r="49" spans="2:15" ht="41.25" customHeight="1" x14ac:dyDescent="0.3">
      <c r="B49" s="32"/>
      <c r="C49" s="35" t="s">
        <v>64</v>
      </c>
      <c r="D49" s="57">
        <f>SUM(D50:D53)</f>
        <v>2980000</v>
      </c>
      <c r="E49" s="57">
        <f>SUM(E50:E53)</f>
        <v>0</v>
      </c>
      <c r="F49" s="57">
        <f>SUM(F50:F53)</f>
        <v>782800</v>
      </c>
      <c r="G49" s="57">
        <f>SUM(G50:G53)</f>
        <v>782800</v>
      </c>
      <c r="H49" s="48">
        <f>G49/D49</f>
        <v>0.26268456375838928</v>
      </c>
      <c r="I49" s="57">
        <f>SUM(I50:I53)</f>
        <v>0</v>
      </c>
      <c r="J49" s="57">
        <f>SUM(J50:J53)</f>
        <v>782800</v>
      </c>
      <c r="K49" s="57">
        <f>SUM(K50:K53)</f>
        <v>782800</v>
      </c>
      <c r="L49" s="47">
        <f>K49/D49</f>
        <v>0.26268456375838928</v>
      </c>
      <c r="M49" s="29">
        <f>K49/D49</f>
        <v>0.26268456375838928</v>
      </c>
      <c r="N49" s="37"/>
    </row>
    <row r="50" spans="2:15" x14ac:dyDescent="0.3">
      <c r="B50" s="192">
        <v>20</v>
      </c>
      <c r="C50" s="17" t="s">
        <v>41</v>
      </c>
      <c r="D50" s="182">
        <v>752000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2228000</v>
      </c>
      <c r="E52" s="188"/>
      <c r="F52" s="188">
        <v>782800</v>
      </c>
      <c r="G52" s="174">
        <f>E52+F52</f>
        <v>782800</v>
      </c>
      <c r="H52" s="185">
        <f>G52/D52</f>
        <v>0.35134649910233395</v>
      </c>
      <c r="I52" s="170">
        <f>E52</f>
        <v>0</v>
      </c>
      <c r="J52" s="170">
        <f>F52</f>
        <v>782800</v>
      </c>
      <c r="K52" s="174">
        <f>I52+J52</f>
        <v>782800</v>
      </c>
      <c r="L52" s="184">
        <f>K52/D52</f>
        <v>0.35134649910233395</v>
      </c>
      <c r="M52" s="185">
        <f>L52</f>
        <v>0.35134649910233395</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13800000</v>
      </c>
      <c r="E54" s="53">
        <f t="shared" ref="E54:M54" si="16">E55</f>
        <v>9000000</v>
      </c>
      <c r="F54" s="53">
        <f t="shared" si="16"/>
        <v>2000000</v>
      </c>
      <c r="G54" s="53">
        <f t="shared" si="16"/>
        <v>11000000</v>
      </c>
      <c r="H54" s="80">
        <f>H55</f>
        <v>0.79710144927536231</v>
      </c>
      <c r="I54" s="53">
        <f t="shared" si="16"/>
        <v>9000000</v>
      </c>
      <c r="J54" s="53">
        <f t="shared" si="16"/>
        <v>2000000</v>
      </c>
      <c r="K54" s="53">
        <f t="shared" si="16"/>
        <v>11000000</v>
      </c>
      <c r="L54" s="80">
        <f>L55</f>
        <v>0.79710144927536231</v>
      </c>
      <c r="M54" s="80">
        <f t="shared" si="16"/>
        <v>0.79710144927536231</v>
      </c>
      <c r="N54" s="24"/>
    </row>
    <row r="55" spans="2:15" ht="17.25" customHeight="1" x14ac:dyDescent="0.3">
      <c r="B55" s="27"/>
      <c r="C55" s="35" t="s">
        <v>65</v>
      </c>
      <c r="D55" s="57">
        <f>SUM(D56:D59)</f>
        <v>13800000</v>
      </c>
      <c r="E55" s="57">
        <f>SUM(E56:E59)</f>
        <v>9000000</v>
      </c>
      <c r="F55" s="57">
        <f>SUM(F56:F59)</f>
        <v>2000000</v>
      </c>
      <c r="G55" s="57">
        <f>SUM(G56:G59)</f>
        <v>11000000</v>
      </c>
      <c r="H55" s="48">
        <f>G55/D55</f>
        <v>0.79710144927536231</v>
      </c>
      <c r="I55" s="57">
        <f>SUM(I56:I59)</f>
        <v>9000000</v>
      </c>
      <c r="J55" s="57">
        <f>SUM(J56:J59)</f>
        <v>2000000</v>
      </c>
      <c r="K55" s="57">
        <f>SUM(K56:K59)</f>
        <v>11000000</v>
      </c>
      <c r="L55" s="47">
        <f>K55/D55</f>
        <v>0.79710144927536231</v>
      </c>
      <c r="M55" s="47">
        <f>SUM(L55)</f>
        <v>0.79710144927536231</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4800000</v>
      </c>
      <c r="E58" s="188"/>
      <c r="F58" s="188">
        <v>2000000</v>
      </c>
      <c r="G58" s="174">
        <f>E58+F58</f>
        <v>2000000</v>
      </c>
      <c r="H58" s="185">
        <f>G58/D58</f>
        <v>0.41666666666666669</v>
      </c>
      <c r="I58" s="189">
        <f>E58</f>
        <v>0</v>
      </c>
      <c r="J58" s="188">
        <f>F58</f>
        <v>2000000</v>
      </c>
      <c r="K58" s="174">
        <f>I58+J58</f>
        <v>2000000</v>
      </c>
      <c r="L58" s="184">
        <f>K58/D58</f>
        <v>0.41666666666666669</v>
      </c>
      <c r="M58" s="185">
        <f>L58</f>
        <v>0.41666666666666669</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5400000</v>
      </c>
      <c r="F60" s="58">
        <f t="shared" si="17"/>
        <v>1800000</v>
      </c>
      <c r="G60" s="58">
        <f t="shared" si="17"/>
        <v>7200000</v>
      </c>
      <c r="H60" s="46">
        <f>G60/D60</f>
        <v>0.33333333333333331</v>
      </c>
      <c r="I60" s="58">
        <f t="shared" ref="I60:K61" si="18">SUM(I61)</f>
        <v>5400000</v>
      </c>
      <c r="J60" s="58">
        <f t="shared" si="18"/>
        <v>1800000</v>
      </c>
      <c r="K60" s="58">
        <f t="shared" si="18"/>
        <v>7200000</v>
      </c>
      <c r="L60" s="44">
        <f>K60/D60</f>
        <v>0.33333333333333331</v>
      </c>
      <c r="M60" s="23">
        <f>SUM(L60)</f>
        <v>0.33333333333333331</v>
      </c>
      <c r="N60" s="21"/>
    </row>
    <row r="61" spans="2:15" ht="25.5" customHeight="1" x14ac:dyDescent="0.3">
      <c r="B61" s="25"/>
      <c r="C61" s="38" t="s">
        <v>82</v>
      </c>
      <c r="D61" s="59">
        <f t="shared" si="17"/>
        <v>21600000</v>
      </c>
      <c r="E61" s="60">
        <f t="shared" si="17"/>
        <v>5400000</v>
      </c>
      <c r="F61" s="59">
        <f t="shared" si="17"/>
        <v>1800000</v>
      </c>
      <c r="G61" s="57">
        <f t="shared" si="17"/>
        <v>7200000</v>
      </c>
      <c r="H61" s="47">
        <f>G61/D61</f>
        <v>0.33333333333333331</v>
      </c>
      <c r="I61" s="59">
        <f t="shared" si="18"/>
        <v>5400000</v>
      </c>
      <c r="J61" s="59">
        <f t="shared" si="18"/>
        <v>1800000</v>
      </c>
      <c r="K61" s="59">
        <f t="shared" si="18"/>
        <v>7200000</v>
      </c>
      <c r="L61" s="47">
        <f>K61/D61</f>
        <v>0.33333333333333331</v>
      </c>
      <c r="M61" s="30">
        <f>SUM(L61)</f>
        <v>0.33333333333333331</v>
      </c>
      <c r="N61" s="31"/>
    </row>
    <row r="62" spans="2:15" x14ac:dyDescent="0.3">
      <c r="B62" s="180">
        <v>25</v>
      </c>
      <c r="C62" s="12" t="s">
        <v>44</v>
      </c>
      <c r="D62" s="187">
        <v>21600000</v>
      </c>
      <c r="E62" s="188">
        <v>5400000</v>
      </c>
      <c r="F62" s="188">
        <f>7200000-E62</f>
        <v>1800000</v>
      </c>
      <c r="G62" s="170">
        <f>E62+F62</f>
        <v>7200000</v>
      </c>
      <c r="H62" s="185">
        <f>G62/D62</f>
        <v>0.33333333333333331</v>
      </c>
      <c r="I62" s="174">
        <f>E62</f>
        <v>5400000</v>
      </c>
      <c r="J62" s="188">
        <f>F62</f>
        <v>1800000</v>
      </c>
      <c r="K62" s="174">
        <f>I62+J62</f>
        <v>7200000</v>
      </c>
      <c r="L62" s="184">
        <f>K62/D62</f>
        <v>0.33333333333333331</v>
      </c>
      <c r="M62" s="185">
        <f>L62</f>
        <v>0.33333333333333331</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44250000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44250000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0</v>
      </c>
      <c r="E68" s="188">
        <v>0</v>
      </c>
      <c r="F68" s="188">
        <v>0</v>
      </c>
      <c r="G68" s="174">
        <f>E68+F68</f>
        <v>0</v>
      </c>
      <c r="H68" s="185">
        <v>0</v>
      </c>
      <c r="I68" s="174">
        <f>E68</f>
        <v>0</v>
      </c>
      <c r="J68" s="174">
        <f>F68</f>
        <v>0</v>
      </c>
      <c r="K68" s="174">
        <f>I68+J68</f>
        <v>0</v>
      </c>
      <c r="L68" s="184">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1200000</v>
      </c>
      <c r="E70" s="52">
        <f t="shared" si="19"/>
        <v>0</v>
      </c>
      <c r="F70" s="52">
        <f t="shared" si="19"/>
        <v>450000</v>
      </c>
      <c r="G70" s="52">
        <f t="shared" si="19"/>
        <v>450000</v>
      </c>
      <c r="H70" s="23">
        <f>G70/D70</f>
        <v>0.375</v>
      </c>
      <c r="I70" s="52">
        <f t="shared" ref="I70:K71" si="20">SUM(I71)</f>
        <v>0</v>
      </c>
      <c r="J70" s="52">
        <f t="shared" si="20"/>
        <v>450000</v>
      </c>
      <c r="K70" s="52">
        <f t="shared" si="20"/>
        <v>450000</v>
      </c>
      <c r="L70" s="44">
        <f>K70/D70</f>
        <v>0.375</v>
      </c>
      <c r="M70" s="68">
        <f>SUM(L70)</f>
        <v>0.375</v>
      </c>
      <c r="N70" s="43"/>
    </row>
    <row r="71" spans="2:26" ht="38.25" customHeight="1" x14ac:dyDescent="0.3">
      <c r="B71" s="25"/>
      <c r="C71" s="39" t="s">
        <v>67</v>
      </c>
      <c r="D71" s="60">
        <f t="shared" si="19"/>
        <v>1200000</v>
      </c>
      <c r="E71" s="60">
        <f t="shared" si="19"/>
        <v>0</v>
      </c>
      <c r="F71" s="60">
        <f t="shared" si="19"/>
        <v>450000</v>
      </c>
      <c r="G71" s="60">
        <f t="shared" si="19"/>
        <v>450000</v>
      </c>
      <c r="H71" s="29">
        <f>G71/D71</f>
        <v>0.375</v>
      </c>
      <c r="I71" s="60">
        <f t="shared" si="20"/>
        <v>0</v>
      </c>
      <c r="J71" s="60">
        <f t="shared" si="20"/>
        <v>450000</v>
      </c>
      <c r="K71" s="60">
        <f t="shared" si="20"/>
        <v>450000</v>
      </c>
      <c r="L71" s="47">
        <f>K71/D71</f>
        <v>0.375</v>
      </c>
      <c r="M71" s="29">
        <f>SUM(L71)</f>
        <v>0.375</v>
      </c>
      <c r="N71" s="40"/>
    </row>
    <row r="72" spans="2:26" x14ac:dyDescent="0.3">
      <c r="B72" s="180">
        <v>28</v>
      </c>
      <c r="C72" s="17" t="s">
        <v>47</v>
      </c>
      <c r="D72" s="182">
        <v>1200000</v>
      </c>
      <c r="E72" s="172"/>
      <c r="F72" s="172">
        <v>450000</v>
      </c>
      <c r="G72" s="174">
        <f>E72+F72</f>
        <v>450000</v>
      </c>
      <c r="H72" s="177">
        <f>G72/D72</f>
        <v>0.375</v>
      </c>
      <c r="I72" s="170">
        <f>E72</f>
        <v>0</v>
      </c>
      <c r="J72" s="172">
        <f>F72</f>
        <v>450000</v>
      </c>
      <c r="K72" s="174">
        <f>I72+J72</f>
        <v>450000</v>
      </c>
      <c r="L72" s="175">
        <f>K72/D72</f>
        <v>0.375</v>
      </c>
      <c r="M72" s="177">
        <f>L72</f>
        <v>0.375</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2768176092</v>
      </c>
      <c r="E74" s="165">
        <f>E9+E48+E54+E60+E64+E70</f>
        <v>800120458</v>
      </c>
      <c r="F74" s="165">
        <f>F9+F48+F54+F60+F64+F70</f>
        <v>233783149</v>
      </c>
      <c r="G74" s="159">
        <f>G9+G48+G54+G60+G64+G70</f>
        <v>1033903607</v>
      </c>
      <c r="H74" s="157">
        <f>G74/D74</f>
        <v>0.37349632849874348</v>
      </c>
      <c r="I74" s="159">
        <f>I9+I48+I54+I60+I64+I70</f>
        <v>800120458</v>
      </c>
      <c r="J74" s="159">
        <f>J9+J48+J54+J60+J64+J70</f>
        <v>233783149</v>
      </c>
      <c r="K74" s="159">
        <f>K9+K48+K54+K60+K64+K70</f>
        <v>1033903607</v>
      </c>
      <c r="L74" s="157">
        <f>K74/D74</f>
        <v>0.37349632849874348</v>
      </c>
      <c r="M74" s="157">
        <f>K74/D74</f>
        <v>0.37349632849874348</v>
      </c>
      <c r="N74" s="153"/>
    </row>
    <row r="75" spans="2:26" ht="15" thickBot="1" x14ac:dyDescent="0.35">
      <c r="B75" s="162"/>
      <c r="C75" s="164"/>
      <c r="D75" s="160"/>
      <c r="E75" s="166"/>
      <c r="F75" s="166"/>
      <c r="G75" s="160"/>
      <c r="H75" s="158"/>
      <c r="I75" s="160"/>
      <c r="J75" s="160"/>
      <c r="K75" s="160"/>
      <c r="L75" s="158"/>
      <c r="M75" s="158"/>
      <c r="N75" s="154"/>
    </row>
    <row r="76" spans="2:26" x14ac:dyDescent="0.3">
      <c r="B76" s="123"/>
      <c r="D76" s="2"/>
      <c r="E76" s="69"/>
      <c r="F76" s="7"/>
      <c r="G76" s="61"/>
      <c r="L76" s="123"/>
    </row>
    <row r="77" spans="2:26" x14ac:dyDescent="0.3">
      <c r="D77" s="4"/>
      <c r="E77" s="62"/>
      <c r="F77" s="63"/>
      <c r="G77" s="45"/>
      <c r="J77" s="155" t="s">
        <v>126</v>
      </c>
      <c r="K77" s="155"/>
      <c r="L77" s="155"/>
      <c r="M77" s="155"/>
      <c r="N77" s="122"/>
    </row>
    <row r="78" spans="2:26" x14ac:dyDescent="0.3">
      <c r="D78" s="4"/>
      <c r="E78" s="62"/>
      <c r="G78" s="61"/>
      <c r="J78" s="155" t="s">
        <v>56</v>
      </c>
      <c r="K78" s="155"/>
      <c r="L78" s="155"/>
      <c r="M78" s="155"/>
      <c r="N78" s="122"/>
    </row>
    <row r="79" spans="2:26" x14ac:dyDescent="0.3">
      <c r="D79" s="4"/>
      <c r="E79" s="62"/>
      <c r="K79" s="122"/>
      <c r="L79" s="122"/>
      <c r="M79" s="122"/>
      <c r="N79" s="122"/>
    </row>
    <row r="80" spans="2:26" x14ac:dyDescent="0.3">
      <c r="D80" s="4"/>
      <c r="E80" s="70"/>
      <c r="F80" s="62"/>
      <c r="G80" s="45"/>
      <c r="K80" s="122"/>
      <c r="L80" s="122"/>
      <c r="M80" s="122"/>
      <c r="N80" s="122"/>
    </row>
    <row r="81" spans="2:14" x14ac:dyDescent="0.3">
      <c r="D81" s="78"/>
      <c r="K81" s="122"/>
      <c r="L81" s="122"/>
      <c r="M81" s="122"/>
      <c r="N81" s="122"/>
    </row>
    <row r="82" spans="2:14" x14ac:dyDescent="0.3">
      <c r="D82" s="4"/>
      <c r="E82" s="63"/>
      <c r="J82" s="156" t="s">
        <v>59</v>
      </c>
      <c r="K82" s="156"/>
      <c r="L82" s="156"/>
      <c r="M82" s="156"/>
      <c r="N82" s="122"/>
    </row>
    <row r="83" spans="2:14" ht="13.8" customHeight="1" x14ac:dyDescent="0.3">
      <c r="D83" s="78"/>
      <c r="J83" s="155" t="s">
        <v>79</v>
      </c>
      <c r="K83" s="155"/>
      <c r="L83" s="155"/>
      <c r="M83" s="155"/>
      <c r="N83" s="122"/>
    </row>
    <row r="84" spans="2:14" x14ac:dyDescent="0.3">
      <c r="D84" s="4"/>
      <c r="J84" s="155" t="s">
        <v>60</v>
      </c>
      <c r="K84" s="155"/>
      <c r="L84" s="155"/>
      <c r="M84" s="155"/>
      <c r="N84" s="5"/>
    </row>
    <row r="85" spans="2:14" x14ac:dyDescent="0.3">
      <c r="B85" s="123"/>
      <c r="D85" s="2"/>
      <c r="E85" s="71"/>
      <c r="L85" s="123"/>
    </row>
    <row r="86" spans="2:14" x14ac:dyDescent="0.3">
      <c r="B86" s="123"/>
      <c r="D86" s="2"/>
      <c r="E86" s="71"/>
      <c r="L86" s="123"/>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70" orientation="landscape" horizontalDpi="300" verticalDpi="300" r:id="rId1"/>
  <rowBreaks count="2" manualBreakCount="2">
    <brk id="35" max="13" man="1"/>
    <brk id="59" max="1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F674-594D-40C3-8122-AEEAFAB57D51}">
  <dimension ref="A1:T93"/>
  <sheetViews>
    <sheetView view="pageBreakPreview" zoomScale="99" zoomScaleNormal="75" zoomScaleSheetLayoutView="99" workbookViewId="0">
      <pane xSplit="3" ySplit="2" topLeftCell="D3" activePane="bottomRight" state="frozen"/>
      <selection pane="topRight" activeCell="C1" sqref="C1"/>
      <selection pane="bottomLeft" activeCell="A3" sqref="A3"/>
      <selection pane="bottomRight" activeCell="F72" sqref="F72:F73"/>
    </sheetView>
  </sheetViews>
  <sheetFormatPr defaultRowHeight="14.4" x14ac:dyDescent="0.3"/>
  <cols>
    <col min="1" max="1" width="5.88671875" customWidth="1"/>
    <col min="2" max="2" width="4.33203125" customWidth="1"/>
    <col min="3" max="3" width="59.44140625" customWidth="1"/>
    <col min="4" max="4" width="18.88671875" customWidth="1"/>
    <col min="5" max="5" width="16.6640625" customWidth="1"/>
    <col min="6" max="6" width="18.5546875" customWidth="1"/>
    <col min="7" max="7" width="15.5546875" customWidth="1"/>
    <col min="8" max="8" width="40.33203125" customWidth="1"/>
    <col min="9" max="9" width="10.5546875" bestFit="1" customWidth="1"/>
  </cols>
  <sheetData>
    <row r="1" spans="1:13" x14ac:dyDescent="0.3">
      <c r="B1" s="212" t="s">
        <v>109</v>
      </c>
      <c r="C1" s="212"/>
      <c r="D1" s="212"/>
      <c r="E1" s="212"/>
      <c r="F1" s="212"/>
      <c r="G1" s="212"/>
      <c r="H1" s="212"/>
    </row>
    <row r="2" spans="1:13" x14ac:dyDescent="0.3">
      <c r="B2" s="212" t="s">
        <v>57</v>
      </c>
      <c r="C2" s="212"/>
      <c r="D2" s="212"/>
      <c r="E2" s="212"/>
      <c r="F2" s="212"/>
      <c r="G2" s="212"/>
      <c r="H2" s="212"/>
    </row>
    <row r="3" spans="1:13" ht="10.8" customHeight="1" x14ac:dyDescent="0.3">
      <c r="B3" s="213"/>
      <c r="C3" s="213"/>
      <c r="D3" s="120"/>
      <c r="E3" s="1"/>
      <c r="F3" s="3"/>
      <c r="G3" s="119"/>
      <c r="H3" s="119"/>
    </row>
    <row r="4" spans="1:13" ht="10.8" customHeight="1" x14ac:dyDescent="0.3">
      <c r="B4" s="180" t="s">
        <v>6</v>
      </c>
      <c r="C4" s="214" t="s">
        <v>7</v>
      </c>
      <c r="D4" s="214" t="s">
        <v>108</v>
      </c>
      <c r="E4" s="238" t="s">
        <v>111</v>
      </c>
      <c r="F4" s="241" t="s">
        <v>110</v>
      </c>
      <c r="G4" s="244" t="s">
        <v>102</v>
      </c>
      <c r="H4" s="214" t="s">
        <v>103</v>
      </c>
    </row>
    <row r="5" spans="1:13" ht="10.8" customHeight="1" x14ac:dyDescent="0.3">
      <c r="B5" s="192"/>
      <c r="C5" s="215"/>
      <c r="D5" s="215"/>
      <c r="E5" s="239"/>
      <c r="F5" s="242"/>
      <c r="G5" s="245"/>
      <c r="H5" s="215"/>
    </row>
    <row r="6" spans="1:13" ht="10.8" customHeight="1" x14ac:dyDescent="0.3">
      <c r="B6" s="181"/>
      <c r="C6" s="216"/>
      <c r="D6" s="216"/>
      <c r="E6" s="240"/>
      <c r="F6" s="243"/>
      <c r="G6" s="246"/>
      <c r="H6" s="216"/>
    </row>
    <row r="7" spans="1:13" s="73" customFormat="1" x14ac:dyDescent="0.3">
      <c r="A7"/>
      <c r="B7" s="41"/>
      <c r="C7" s="49" t="s">
        <v>68</v>
      </c>
      <c r="D7" s="108">
        <f>D8+D13+D16+D19+D34+D39</f>
        <v>2705364292</v>
      </c>
      <c r="E7" s="99" t="s">
        <v>112</v>
      </c>
      <c r="F7" s="108">
        <f>F8+F13+F16+F19+F34+F39</f>
        <v>785720458</v>
      </c>
      <c r="G7" s="50">
        <v>0.22570699842740438</v>
      </c>
      <c r="H7" s="41"/>
      <c r="I7"/>
      <c r="J7"/>
      <c r="K7"/>
      <c r="L7"/>
      <c r="M7"/>
    </row>
    <row r="8" spans="1:13" x14ac:dyDescent="0.3">
      <c r="B8" s="25"/>
      <c r="C8" s="26" t="s">
        <v>61</v>
      </c>
      <c r="D8" s="105">
        <f>SUM(D9:D12)</f>
        <v>10883200</v>
      </c>
      <c r="E8" s="100" t="s">
        <v>106</v>
      </c>
      <c r="F8" s="105">
        <f>SUM(F9:F12)</f>
        <v>0</v>
      </c>
      <c r="G8" s="29">
        <v>0</v>
      </c>
      <c r="H8" s="28"/>
    </row>
    <row r="9" spans="1:13" x14ac:dyDescent="0.3">
      <c r="B9" s="180">
        <v>1</v>
      </c>
      <c r="C9" s="12" t="s">
        <v>30</v>
      </c>
      <c r="D9" s="195">
        <v>8455200</v>
      </c>
      <c r="E9" s="237" t="s">
        <v>107</v>
      </c>
      <c r="F9" s="174"/>
      <c r="G9" s="177">
        <v>0</v>
      </c>
      <c r="H9" s="153" t="s">
        <v>114</v>
      </c>
    </row>
    <row r="10" spans="1:13" x14ac:dyDescent="0.3">
      <c r="B10" s="181"/>
      <c r="C10" s="13" t="s">
        <v>18</v>
      </c>
      <c r="D10" s="194"/>
      <c r="E10" s="194"/>
      <c r="F10" s="171"/>
      <c r="G10" s="178"/>
      <c r="H10" s="179"/>
    </row>
    <row r="11" spans="1:13" x14ac:dyDescent="0.3">
      <c r="B11" s="180">
        <v>2</v>
      </c>
      <c r="C11" s="12" t="s">
        <v>93</v>
      </c>
      <c r="D11" s="187">
        <v>2428000</v>
      </c>
      <c r="E11" s="237" t="s">
        <v>107</v>
      </c>
      <c r="F11" s="174"/>
      <c r="G11" s="177">
        <v>0</v>
      </c>
      <c r="H11" s="153" t="s">
        <v>114</v>
      </c>
    </row>
    <row r="12" spans="1:13" x14ac:dyDescent="0.3">
      <c r="B12" s="181"/>
      <c r="C12" s="86" t="s">
        <v>94</v>
      </c>
      <c r="D12" s="205"/>
      <c r="E12" s="194"/>
      <c r="F12" s="171"/>
      <c r="G12" s="178"/>
      <c r="H12" s="179"/>
    </row>
    <row r="13" spans="1:13" x14ac:dyDescent="0.3">
      <c r="B13" s="25"/>
      <c r="C13" s="26" t="s">
        <v>62</v>
      </c>
      <c r="D13" s="105">
        <f>D14</f>
        <v>2061154392</v>
      </c>
      <c r="E13" s="100" t="s">
        <v>112</v>
      </c>
      <c r="F13" s="105">
        <f>F14</f>
        <v>629923637</v>
      </c>
      <c r="G13" s="66">
        <f>G14</f>
        <v>0.24213398760280738</v>
      </c>
      <c r="H13" s="31"/>
    </row>
    <row r="14" spans="1:13" x14ac:dyDescent="0.3">
      <c r="B14" s="180">
        <v>3</v>
      </c>
      <c r="C14" s="12" t="s">
        <v>33</v>
      </c>
      <c r="D14" s="187">
        <v>2061154392</v>
      </c>
      <c r="E14" s="237" t="s">
        <v>112</v>
      </c>
      <c r="F14" s="174">
        <f>APRIL!G16</f>
        <v>629923637</v>
      </c>
      <c r="G14" s="177">
        <v>0.24213398760280738</v>
      </c>
      <c r="H14" s="153" t="s">
        <v>115</v>
      </c>
    </row>
    <row r="15" spans="1:13" x14ac:dyDescent="0.3">
      <c r="B15" s="192"/>
      <c r="C15" s="14" t="s">
        <v>19</v>
      </c>
      <c r="D15" s="182"/>
      <c r="E15" s="194"/>
      <c r="F15" s="170"/>
      <c r="G15" s="177"/>
      <c r="H15" s="179"/>
    </row>
    <row r="16" spans="1:13" x14ac:dyDescent="0.3">
      <c r="B16" s="32"/>
      <c r="C16" s="33" t="s">
        <v>69</v>
      </c>
      <c r="D16" s="106">
        <f>D17</f>
        <v>50000000</v>
      </c>
      <c r="E16" s="100" t="s">
        <v>106</v>
      </c>
      <c r="F16" s="106">
        <f>F17</f>
        <v>0</v>
      </c>
      <c r="G16" s="48">
        <v>0</v>
      </c>
      <c r="H16" s="34"/>
    </row>
    <row r="17" spans="2:8" x14ac:dyDescent="0.3">
      <c r="B17" s="192">
        <v>4</v>
      </c>
      <c r="C17" s="15" t="s">
        <v>49</v>
      </c>
      <c r="D17" s="182">
        <v>50000000</v>
      </c>
      <c r="E17" s="237" t="s">
        <v>106</v>
      </c>
      <c r="F17" s="170"/>
      <c r="G17" s="202">
        <v>0</v>
      </c>
      <c r="H17" s="153" t="s">
        <v>114</v>
      </c>
    </row>
    <row r="18" spans="2:8" x14ac:dyDescent="0.3">
      <c r="B18" s="181"/>
      <c r="C18" s="16" t="s">
        <v>48</v>
      </c>
      <c r="D18" s="182"/>
      <c r="E18" s="194"/>
      <c r="F18" s="170"/>
      <c r="G18" s="202"/>
      <c r="H18" s="179"/>
    </row>
    <row r="19" spans="2:8" x14ac:dyDescent="0.3">
      <c r="B19" s="25"/>
      <c r="C19" s="35" t="s">
        <v>63</v>
      </c>
      <c r="D19" s="107">
        <f>SUM(D20:D33)</f>
        <v>79272400</v>
      </c>
      <c r="E19" s="100" t="s">
        <v>112</v>
      </c>
      <c r="F19" s="107">
        <f>SUM(F20:F33)</f>
        <v>33375400</v>
      </c>
      <c r="G19" s="30">
        <v>0.41812030416639334</v>
      </c>
      <c r="H19" s="36"/>
    </row>
    <row r="20" spans="2:8" x14ac:dyDescent="0.3">
      <c r="B20" s="180">
        <v>5</v>
      </c>
      <c r="C20" s="17" t="s">
        <v>34</v>
      </c>
      <c r="D20" s="182">
        <v>6234000</v>
      </c>
      <c r="E20" s="237" t="s">
        <v>112</v>
      </c>
      <c r="F20" s="174">
        <f>APRIL!G22</f>
        <v>0</v>
      </c>
      <c r="G20" s="199">
        <v>0</v>
      </c>
      <c r="H20" s="153" t="s">
        <v>116</v>
      </c>
    </row>
    <row r="21" spans="2:8" x14ac:dyDescent="0.3">
      <c r="B21" s="192"/>
      <c r="C21" s="16" t="s">
        <v>2</v>
      </c>
      <c r="D21" s="182"/>
      <c r="E21" s="194"/>
      <c r="F21" s="171"/>
      <c r="G21" s="200"/>
      <c r="H21" s="179"/>
    </row>
    <row r="22" spans="2:8" x14ac:dyDescent="0.3">
      <c r="B22" s="180">
        <v>6</v>
      </c>
      <c r="C22" s="74" t="s">
        <v>35</v>
      </c>
      <c r="D22" s="187">
        <v>9195100</v>
      </c>
      <c r="E22" s="237" t="s">
        <v>112</v>
      </c>
      <c r="F22" s="174">
        <f>APRIL!G24</f>
        <v>0</v>
      </c>
      <c r="G22" s="199">
        <v>0</v>
      </c>
      <c r="H22" s="153" t="s">
        <v>116</v>
      </c>
    </row>
    <row r="23" spans="2:8" x14ac:dyDescent="0.3">
      <c r="B23" s="181"/>
      <c r="C23" s="13" t="s">
        <v>77</v>
      </c>
      <c r="D23" s="183"/>
      <c r="E23" s="194"/>
      <c r="F23" s="171"/>
      <c r="G23" s="200"/>
      <c r="H23" s="179"/>
    </row>
    <row r="24" spans="2:8" x14ac:dyDescent="0.3">
      <c r="B24" s="180">
        <v>7</v>
      </c>
      <c r="C24" s="17" t="s">
        <v>50</v>
      </c>
      <c r="D24" s="182">
        <v>6748500</v>
      </c>
      <c r="E24" s="237" t="s">
        <v>112</v>
      </c>
      <c r="F24" s="174">
        <f>APRIL!G26</f>
        <v>0</v>
      </c>
      <c r="G24" s="177">
        <v>0</v>
      </c>
      <c r="H24" s="153" t="s">
        <v>116</v>
      </c>
    </row>
    <row r="25" spans="2:8" x14ac:dyDescent="0.3">
      <c r="B25" s="192"/>
      <c r="C25" s="16" t="s">
        <v>51</v>
      </c>
      <c r="D25" s="183"/>
      <c r="E25" s="194"/>
      <c r="F25" s="171"/>
      <c r="G25" s="178"/>
      <c r="H25" s="179"/>
    </row>
    <row r="26" spans="2:8" x14ac:dyDescent="0.3">
      <c r="B26" s="180">
        <v>8</v>
      </c>
      <c r="C26" s="12" t="s">
        <v>36</v>
      </c>
      <c r="D26" s="187">
        <v>4114800</v>
      </c>
      <c r="E26" s="237" t="s">
        <v>112</v>
      </c>
      <c r="F26" s="174">
        <f>APRIL!G28</f>
        <v>0</v>
      </c>
      <c r="G26" s="177">
        <v>0</v>
      </c>
      <c r="H26" s="153" t="s">
        <v>116</v>
      </c>
    </row>
    <row r="27" spans="2:8" x14ac:dyDescent="0.3">
      <c r="B27" s="181"/>
      <c r="C27" s="16" t="s">
        <v>1</v>
      </c>
      <c r="D27" s="183"/>
      <c r="E27" s="194"/>
      <c r="F27" s="171"/>
      <c r="G27" s="178"/>
      <c r="H27" s="179"/>
    </row>
    <row r="28" spans="2:8" x14ac:dyDescent="0.3">
      <c r="B28" s="180">
        <v>9</v>
      </c>
      <c r="C28" s="12" t="s">
        <v>37</v>
      </c>
      <c r="D28" s="187">
        <v>1380000</v>
      </c>
      <c r="E28" s="237" t="s">
        <v>112</v>
      </c>
      <c r="F28" s="174">
        <f>APRIL!G30</f>
        <v>345000</v>
      </c>
      <c r="G28" s="185">
        <v>8.3333333333333329E-2</v>
      </c>
      <c r="H28" s="153" t="s">
        <v>116</v>
      </c>
    </row>
    <row r="29" spans="2:8" x14ac:dyDescent="0.3">
      <c r="B29" s="181"/>
      <c r="C29" s="13" t="s">
        <v>3</v>
      </c>
      <c r="D29" s="183"/>
      <c r="E29" s="194"/>
      <c r="F29" s="171"/>
      <c r="G29" s="178"/>
      <c r="H29" s="179"/>
    </row>
    <row r="30" spans="2:8" x14ac:dyDescent="0.3">
      <c r="B30" s="180">
        <v>10</v>
      </c>
      <c r="C30" s="12" t="s">
        <v>38</v>
      </c>
      <c r="D30" s="187">
        <v>11550000</v>
      </c>
      <c r="E30" s="237" t="s">
        <v>112</v>
      </c>
      <c r="F30" s="174">
        <f>APRIL!G32</f>
        <v>0</v>
      </c>
      <c r="G30" s="185">
        <v>0</v>
      </c>
      <c r="H30" s="153" t="s">
        <v>116</v>
      </c>
    </row>
    <row r="31" spans="2:8" x14ac:dyDescent="0.3">
      <c r="B31" s="181"/>
      <c r="C31" s="13" t="s">
        <v>20</v>
      </c>
      <c r="D31" s="183"/>
      <c r="E31" s="194"/>
      <c r="F31" s="171"/>
      <c r="G31" s="178"/>
      <c r="H31" s="179"/>
    </row>
    <row r="32" spans="2:8" x14ac:dyDescent="0.3">
      <c r="B32" s="180">
        <v>11</v>
      </c>
      <c r="C32" s="64" t="s">
        <v>52</v>
      </c>
      <c r="D32" s="187">
        <v>40050000</v>
      </c>
      <c r="E32" s="237" t="s">
        <v>112</v>
      </c>
      <c r="F32" s="174">
        <f>APRIL!G34</f>
        <v>33030400</v>
      </c>
      <c r="G32" s="185">
        <v>0.82472908863920102</v>
      </c>
      <c r="H32" s="153" t="s">
        <v>116</v>
      </c>
    </row>
    <row r="33" spans="2:8" x14ac:dyDescent="0.3">
      <c r="B33" s="181"/>
      <c r="C33" s="13" t="s">
        <v>53</v>
      </c>
      <c r="D33" s="183"/>
      <c r="E33" s="194"/>
      <c r="F33" s="171"/>
      <c r="G33" s="178"/>
      <c r="H33" s="179"/>
    </row>
    <row r="34" spans="2:8" x14ac:dyDescent="0.3">
      <c r="B34" s="25"/>
      <c r="C34" s="35" t="s">
        <v>70</v>
      </c>
      <c r="D34" s="107">
        <f>SUM(D35:D38)</f>
        <v>467880000</v>
      </c>
      <c r="E34" s="100" t="s">
        <v>112</v>
      </c>
      <c r="F34" s="107">
        <f>SUM(F35:F38)</f>
        <v>115260421</v>
      </c>
      <c r="G34" s="29">
        <v>0.16301128921945798</v>
      </c>
      <c r="H34" s="34"/>
    </row>
    <row r="35" spans="2:8" x14ac:dyDescent="0.3">
      <c r="B35" s="180">
        <v>15</v>
      </c>
      <c r="C35" s="12" t="s">
        <v>39</v>
      </c>
      <c r="D35" s="195">
        <v>46200000</v>
      </c>
      <c r="E35" s="237" t="s">
        <v>112</v>
      </c>
      <c r="F35" s="174">
        <f>APRIL!G37</f>
        <v>9840421</v>
      </c>
      <c r="G35" s="185">
        <v>0.12964766233766234</v>
      </c>
      <c r="H35" s="153" t="s">
        <v>105</v>
      </c>
    </row>
    <row r="36" spans="2:8" x14ac:dyDescent="0.3">
      <c r="B36" s="181"/>
      <c r="C36" s="13" t="s">
        <v>0</v>
      </c>
      <c r="D36" s="194"/>
      <c r="E36" s="194"/>
      <c r="F36" s="171"/>
      <c r="G36" s="178"/>
      <c r="H36" s="186"/>
    </row>
    <row r="37" spans="2:8" x14ac:dyDescent="0.3">
      <c r="B37" s="180">
        <v>16</v>
      </c>
      <c r="C37" s="12" t="s">
        <v>40</v>
      </c>
      <c r="D37" s="193">
        <v>421680000</v>
      </c>
      <c r="E37" s="237" t="s">
        <v>112</v>
      </c>
      <c r="F37" s="174">
        <f>APRIL!G39</f>
        <v>105420000</v>
      </c>
      <c r="G37" s="185">
        <v>0.16666666666666666</v>
      </c>
      <c r="H37" s="153" t="s">
        <v>105</v>
      </c>
    </row>
    <row r="38" spans="2:8" x14ac:dyDescent="0.3">
      <c r="B38" s="181"/>
      <c r="C38" s="75" t="s">
        <v>21</v>
      </c>
      <c r="D38" s="194"/>
      <c r="E38" s="194"/>
      <c r="F38" s="171"/>
      <c r="G38" s="178"/>
      <c r="H38" s="179"/>
    </row>
    <row r="39" spans="2:8" ht="27.6" x14ac:dyDescent="0.3">
      <c r="B39" s="25"/>
      <c r="C39" s="76" t="s">
        <v>71</v>
      </c>
      <c r="D39" s="106">
        <f>SUM(D40:D45)</f>
        <v>36174300</v>
      </c>
      <c r="E39" s="100" t="s">
        <v>112</v>
      </c>
      <c r="F39" s="106">
        <f>SUM(F40:F45)</f>
        <v>7161000</v>
      </c>
      <c r="G39" s="29">
        <v>5.8853937740329459E-2</v>
      </c>
      <c r="H39" s="31"/>
    </row>
    <row r="40" spans="2:8" x14ac:dyDescent="0.3">
      <c r="B40" s="180">
        <v>17</v>
      </c>
      <c r="C40" s="12" t="s">
        <v>32</v>
      </c>
      <c r="D40" s="187">
        <v>21430000</v>
      </c>
      <c r="E40" s="237" t="s">
        <v>112</v>
      </c>
      <c r="F40" s="174">
        <f>APRIL!G42</f>
        <v>6761000</v>
      </c>
      <c r="G40" s="185">
        <v>8.068128791413906E-2</v>
      </c>
      <c r="H40" s="153" t="s">
        <v>105</v>
      </c>
    </row>
    <row r="41" spans="2:8" ht="27.6" x14ac:dyDescent="0.3">
      <c r="B41" s="181"/>
      <c r="C41" s="13" t="s">
        <v>78</v>
      </c>
      <c r="D41" s="183"/>
      <c r="E41" s="194"/>
      <c r="F41" s="171"/>
      <c r="G41" s="178"/>
      <c r="H41" s="179"/>
    </row>
    <row r="42" spans="2:8" x14ac:dyDescent="0.3">
      <c r="B42" s="180">
        <v>18</v>
      </c>
      <c r="C42" s="12" t="s">
        <v>31</v>
      </c>
      <c r="D42" s="187">
        <v>4140000</v>
      </c>
      <c r="E42" s="237" t="s">
        <v>112</v>
      </c>
      <c r="F42" s="174">
        <f>APRIL!G44</f>
        <v>400000</v>
      </c>
      <c r="G42" s="177">
        <v>9.6618357487922704E-2</v>
      </c>
      <c r="H42" s="153" t="s">
        <v>105</v>
      </c>
    </row>
    <row r="43" spans="2:8" x14ac:dyDescent="0.3">
      <c r="B43" s="181"/>
      <c r="C43" s="13" t="s">
        <v>22</v>
      </c>
      <c r="D43" s="183"/>
      <c r="E43" s="194"/>
      <c r="F43" s="171"/>
      <c r="G43" s="178"/>
      <c r="H43" s="186"/>
    </row>
    <row r="44" spans="2:8" x14ac:dyDescent="0.3">
      <c r="B44" s="180">
        <v>19</v>
      </c>
      <c r="C44" s="12" t="s">
        <v>81</v>
      </c>
      <c r="D44" s="187">
        <v>10604300</v>
      </c>
      <c r="E44" s="237" t="s">
        <v>106</v>
      </c>
      <c r="F44" s="174">
        <f>APRIL!G46</f>
        <v>0</v>
      </c>
      <c r="G44" s="185">
        <v>0</v>
      </c>
      <c r="H44" s="153" t="s">
        <v>117</v>
      </c>
    </row>
    <row r="45" spans="2:8" ht="27.6" x14ac:dyDescent="0.3">
      <c r="B45" s="181"/>
      <c r="C45" s="16" t="s">
        <v>80</v>
      </c>
      <c r="D45" s="183"/>
      <c r="E45" s="194"/>
      <c r="F45" s="171"/>
      <c r="G45" s="178"/>
      <c r="H45" s="186"/>
    </row>
    <row r="46" spans="2:8" ht="27.6" x14ac:dyDescent="0.3">
      <c r="B46" s="18"/>
      <c r="C46" s="19" t="s">
        <v>76</v>
      </c>
      <c r="D46" s="109">
        <f>D47</f>
        <v>4271800</v>
      </c>
      <c r="E46" s="99" t="s">
        <v>112</v>
      </c>
      <c r="F46" s="109">
        <f>F47</f>
        <v>0</v>
      </c>
      <c r="G46" s="113" t="s">
        <v>113</v>
      </c>
      <c r="H46" s="21"/>
    </row>
    <row r="47" spans="2:8" ht="27.6" x14ac:dyDescent="0.3">
      <c r="B47" s="32"/>
      <c r="C47" s="35" t="s">
        <v>64</v>
      </c>
      <c r="D47" s="107">
        <f>SUM(D48:D51)</f>
        <v>4271800</v>
      </c>
      <c r="E47" s="100" t="s">
        <v>112</v>
      </c>
      <c r="F47" s="107">
        <f>SUM(F48:F51)</f>
        <v>0</v>
      </c>
      <c r="G47" s="114" t="s">
        <v>106</v>
      </c>
      <c r="H47" s="37"/>
    </row>
    <row r="48" spans="2:8" x14ac:dyDescent="0.3">
      <c r="B48" s="192">
        <v>20</v>
      </c>
      <c r="C48" s="17" t="s">
        <v>41</v>
      </c>
      <c r="D48" s="182">
        <v>940000</v>
      </c>
      <c r="E48" s="237" t="s">
        <v>106</v>
      </c>
      <c r="F48" s="170">
        <v>0</v>
      </c>
      <c r="G48" s="177">
        <v>0</v>
      </c>
      <c r="H48" s="153" t="s">
        <v>118</v>
      </c>
    </row>
    <row r="49" spans="2:9" x14ac:dyDescent="0.3">
      <c r="B49" s="181"/>
      <c r="C49" s="16" t="s">
        <v>23</v>
      </c>
      <c r="D49" s="183"/>
      <c r="E49" s="194"/>
      <c r="F49" s="171"/>
      <c r="G49" s="178"/>
      <c r="H49" s="179"/>
    </row>
    <row r="50" spans="2:9" x14ac:dyDescent="0.3">
      <c r="B50" s="180">
        <v>21</v>
      </c>
      <c r="C50" s="12" t="s">
        <v>42</v>
      </c>
      <c r="D50" s="187">
        <v>3331800</v>
      </c>
      <c r="E50" s="237" t="s">
        <v>112</v>
      </c>
      <c r="F50" s="174"/>
      <c r="G50" s="247" t="s">
        <v>106</v>
      </c>
      <c r="H50" s="153" t="s">
        <v>116</v>
      </c>
    </row>
    <row r="51" spans="2:9" ht="27.6" x14ac:dyDescent="0.3">
      <c r="B51" s="181"/>
      <c r="C51" s="13" t="s">
        <v>24</v>
      </c>
      <c r="D51" s="183"/>
      <c r="E51" s="194"/>
      <c r="F51" s="171"/>
      <c r="G51" s="178"/>
      <c r="H51" s="179"/>
    </row>
    <row r="52" spans="2:9" x14ac:dyDescent="0.3">
      <c r="B52" s="18"/>
      <c r="C52" s="22" t="s">
        <v>72</v>
      </c>
      <c r="D52" s="110">
        <f>D53</f>
        <v>15000000</v>
      </c>
      <c r="E52" s="99" t="s">
        <v>104</v>
      </c>
      <c r="F52" s="110">
        <f>F53</f>
        <v>9000000</v>
      </c>
      <c r="G52" s="80">
        <v>0.6</v>
      </c>
      <c r="H52" s="24"/>
    </row>
    <row r="53" spans="2:9" x14ac:dyDescent="0.3">
      <c r="B53" s="27"/>
      <c r="C53" s="35" t="s">
        <v>65</v>
      </c>
      <c r="D53" s="107">
        <f>SUM(D54:D57)</f>
        <v>15000000</v>
      </c>
      <c r="E53" s="100" t="s">
        <v>112</v>
      </c>
      <c r="F53" s="107">
        <f>SUM(F54:F57)</f>
        <v>9000000</v>
      </c>
      <c r="G53" s="48">
        <v>0.6</v>
      </c>
      <c r="H53" s="37"/>
    </row>
    <row r="54" spans="2:9" x14ac:dyDescent="0.3">
      <c r="B54" s="192">
        <v>22</v>
      </c>
      <c r="C54" s="15" t="s">
        <v>55</v>
      </c>
      <c r="D54" s="182">
        <v>9000000</v>
      </c>
      <c r="E54" s="237" t="s">
        <v>104</v>
      </c>
      <c r="F54" s="170">
        <f>APRIL!G56</f>
        <v>9000000</v>
      </c>
      <c r="G54" s="177">
        <v>1</v>
      </c>
      <c r="H54" s="179" t="s">
        <v>119</v>
      </c>
    </row>
    <row r="55" spans="2:9" ht="27.6" x14ac:dyDescent="0.3">
      <c r="B55" s="181"/>
      <c r="C55" s="13" t="s">
        <v>54</v>
      </c>
      <c r="D55" s="183"/>
      <c r="E55" s="194"/>
      <c r="F55" s="171"/>
      <c r="G55" s="178"/>
      <c r="H55" s="186"/>
      <c r="I55" s="45"/>
    </row>
    <row r="56" spans="2:9" x14ac:dyDescent="0.3">
      <c r="B56" s="180">
        <v>23</v>
      </c>
      <c r="C56" s="12" t="s">
        <v>43</v>
      </c>
      <c r="D56" s="187">
        <v>6000000</v>
      </c>
      <c r="E56" s="237" t="s">
        <v>112</v>
      </c>
      <c r="F56" s="170">
        <f>APRIL!G58</f>
        <v>0</v>
      </c>
      <c r="G56" s="248" t="s">
        <v>106</v>
      </c>
      <c r="H56" s="153" t="s">
        <v>118</v>
      </c>
    </row>
    <row r="57" spans="2:9" ht="27.6" x14ac:dyDescent="0.3">
      <c r="B57" s="192"/>
      <c r="C57" s="16" t="s">
        <v>25</v>
      </c>
      <c r="D57" s="183"/>
      <c r="E57" s="194"/>
      <c r="F57" s="171"/>
      <c r="G57" s="177"/>
      <c r="H57" s="179"/>
    </row>
    <row r="58" spans="2:9" x14ac:dyDescent="0.3">
      <c r="B58" s="18"/>
      <c r="C58" s="19" t="s">
        <v>73</v>
      </c>
      <c r="D58" s="109">
        <f>D59</f>
        <v>21600000</v>
      </c>
      <c r="E58" s="99" t="s">
        <v>112</v>
      </c>
      <c r="F58" s="109">
        <f>F59</f>
        <v>5400000</v>
      </c>
      <c r="G58" s="46">
        <f>G59</f>
        <v>0.16666666666666666</v>
      </c>
      <c r="H58" s="21"/>
    </row>
    <row r="59" spans="2:9" x14ac:dyDescent="0.3">
      <c r="B59" s="25"/>
      <c r="C59" s="38" t="s">
        <v>82</v>
      </c>
      <c r="D59" s="107">
        <f>SUM(D60)</f>
        <v>21600000</v>
      </c>
      <c r="E59" s="100" t="s">
        <v>112</v>
      </c>
      <c r="F59" s="107">
        <f>SUM(F60)</f>
        <v>5400000</v>
      </c>
      <c r="G59" s="47">
        <v>0.16666666666666666</v>
      </c>
      <c r="H59" s="31"/>
    </row>
    <row r="60" spans="2:9" x14ac:dyDescent="0.3">
      <c r="B60" s="180">
        <v>25</v>
      </c>
      <c r="C60" s="12" t="s">
        <v>44</v>
      </c>
      <c r="D60" s="187">
        <v>21600000</v>
      </c>
      <c r="E60" s="237" t="s">
        <v>112</v>
      </c>
      <c r="F60" s="170">
        <f>APRIL!G62</f>
        <v>5400000</v>
      </c>
      <c r="G60" s="185">
        <v>0.17</v>
      </c>
      <c r="H60" s="153" t="s">
        <v>105</v>
      </c>
    </row>
    <row r="61" spans="2:9" ht="27.6" x14ac:dyDescent="0.3">
      <c r="B61" s="181"/>
      <c r="C61" s="13" t="s">
        <v>26</v>
      </c>
      <c r="D61" s="183"/>
      <c r="E61" s="194"/>
      <c r="F61" s="171"/>
      <c r="G61" s="178"/>
      <c r="H61" s="186"/>
    </row>
    <row r="62" spans="2:9" x14ac:dyDescent="0.3">
      <c r="B62" s="18"/>
      <c r="C62" s="87" t="s">
        <v>74</v>
      </c>
      <c r="D62" s="111">
        <f>D63</f>
        <v>48250000</v>
      </c>
      <c r="E62" s="99" t="s">
        <v>106</v>
      </c>
      <c r="F62" s="111">
        <f>F63</f>
        <v>0</v>
      </c>
      <c r="G62" s="116" t="s">
        <v>106</v>
      </c>
      <c r="H62" s="21"/>
    </row>
    <row r="63" spans="2:9" ht="27.6" x14ac:dyDescent="0.3">
      <c r="B63" s="65"/>
      <c r="C63" s="35" t="s">
        <v>66</v>
      </c>
      <c r="D63" s="107">
        <f>SUM(D64:D67)</f>
        <v>48250000</v>
      </c>
      <c r="E63" s="100" t="s">
        <v>106</v>
      </c>
      <c r="F63" s="107">
        <f>SUM(F64:F67)</f>
        <v>0</v>
      </c>
      <c r="G63" s="115" t="s">
        <v>106</v>
      </c>
      <c r="H63" s="37"/>
    </row>
    <row r="64" spans="2:9" x14ac:dyDescent="0.3">
      <c r="B64" s="180">
        <v>26</v>
      </c>
      <c r="C64" s="12" t="s">
        <v>121</v>
      </c>
      <c r="D64" s="187">
        <v>44250000</v>
      </c>
      <c r="E64" s="237" t="s">
        <v>106</v>
      </c>
      <c r="F64" s="170">
        <f>APRIL!G66</f>
        <v>0</v>
      </c>
      <c r="G64" s="247" t="s">
        <v>106</v>
      </c>
      <c r="H64" s="153" t="s">
        <v>118</v>
      </c>
    </row>
    <row r="65" spans="2:20" ht="69" x14ac:dyDescent="0.3">
      <c r="B65" s="181"/>
      <c r="C65" s="13" t="s">
        <v>27</v>
      </c>
      <c r="D65" s="183"/>
      <c r="E65" s="194"/>
      <c r="F65" s="171"/>
      <c r="G65" s="178"/>
      <c r="H65" s="179"/>
    </row>
    <row r="66" spans="2:20" x14ac:dyDescent="0.3">
      <c r="B66" s="180">
        <v>27</v>
      </c>
      <c r="C66" s="12" t="s">
        <v>46</v>
      </c>
      <c r="D66" s="187">
        <v>4000000</v>
      </c>
      <c r="E66" s="237" t="s">
        <v>106</v>
      </c>
      <c r="F66" s="170">
        <f>APRIL!G68</f>
        <v>0</v>
      </c>
      <c r="G66" s="247" t="s">
        <v>106</v>
      </c>
      <c r="H66" s="153" t="s">
        <v>118</v>
      </c>
    </row>
    <row r="67" spans="2:20" ht="41.4" x14ac:dyDescent="0.3">
      <c r="B67" s="181"/>
      <c r="C67" s="13" t="s">
        <v>29</v>
      </c>
      <c r="D67" s="183"/>
      <c r="E67" s="194"/>
      <c r="F67" s="171"/>
      <c r="G67" s="178"/>
      <c r="H67" s="179"/>
    </row>
    <row r="68" spans="2:20" x14ac:dyDescent="0.3">
      <c r="B68" s="41"/>
      <c r="C68" s="42" t="s">
        <v>75</v>
      </c>
      <c r="D68" s="112">
        <f>D69</f>
        <v>7000000</v>
      </c>
      <c r="E68" s="99" t="s">
        <v>112</v>
      </c>
      <c r="F68" s="112">
        <f>F69</f>
        <v>0</v>
      </c>
      <c r="G68" s="117" t="s">
        <v>106</v>
      </c>
      <c r="H68" s="43"/>
    </row>
    <row r="69" spans="2:20" ht="27.6" x14ac:dyDescent="0.3">
      <c r="B69" s="25"/>
      <c r="C69" s="39" t="s">
        <v>67</v>
      </c>
      <c r="D69" s="107">
        <f>SUM(D70)</f>
        <v>7000000</v>
      </c>
      <c r="E69" s="100" t="s">
        <v>112</v>
      </c>
      <c r="F69" s="107">
        <f>SUM(F70)</f>
        <v>0</v>
      </c>
      <c r="G69" s="118" t="s">
        <v>106</v>
      </c>
      <c r="H69" s="40"/>
    </row>
    <row r="70" spans="2:20" x14ac:dyDescent="0.3">
      <c r="B70" s="180">
        <v>28</v>
      </c>
      <c r="C70" s="17" t="s">
        <v>47</v>
      </c>
      <c r="D70" s="182">
        <v>7000000</v>
      </c>
      <c r="E70" s="237" t="s">
        <v>112</v>
      </c>
      <c r="F70" s="174"/>
      <c r="G70" s="247" t="s">
        <v>106</v>
      </c>
      <c r="H70" s="153" t="s">
        <v>118</v>
      </c>
      <c r="I70" s="168"/>
      <c r="J70" s="167"/>
      <c r="K70" s="167"/>
      <c r="L70" s="167"/>
      <c r="M70" s="167"/>
      <c r="N70" s="167"/>
      <c r="O70" s="167"/>
      <c r="P70" s="167"/>
      <c r="Q70" s="167"/>
      <c r="R70" s="167"/>
      <c r="S70" s="167"/>
      <c r="T70" s="167"/>
    </row>
    <row r="71" spans="2:20" x14ac:dyDescent="0.3">
      <c r="B71" s="181"/>
      <c r="C71" s="13" t="s">
        <v>28</v>
      </c>
      <c r="D71" s="183"/>
      <c r="E71" s="194"/>
      <c r="F71" s="170"/>
      <c r="G71" s="178"/>
      <c r="H71" s="179"/>
      <c r="I71" s="169"/>
      <c r="J71" s="167"/>
      <c r="K71" s="167"/>
      <c r="L71" s="167"/>
      <c r="M71" s="167"/>
      <c r="N71" s="167"/>
      <c r="O71" s="167"/>
      <c r="P71" s="167"/>
      <c r="Q71" s="167"/>
      <c r="R71" s="167"/>
      <c r="S71" s="167"/>
      <c r="T71" s="167"/>
    </row>
    <row r="72" spans="2:20" x14ac:dyDescent="0.3">
      <c r="B72" s="161"/>
      <c r="C72" s="163" t="s">
        <v>58</v>
      </c>
      <c r="D72" s="249">
        <f>D68+D62+D58+D52+D46+D7</f>
        <v>2801486092</v>
      </c>
      <c r="E72" s="159"/>
      <c r="F72" s="249">
        <f>F68+F62+F58+F52+F46+F7</f>
        <v>800120458</v>
      </c>
      <c r="G72" s="157">
        <v>0.22246037764730764</v>
      </c>
      <c r="H72" s="153"/>
    </row>
    <row r="73" spans="2:20" ht="6.6" customHeight="1" thickBot="1" x14ac:dyDescent="0.35">
      <c r="B73" s="162"/>
      <c r="C73" s="164"/>
      <c r="D73" s="164"/>
      <c r="E73" s="160"/>
      <c r="F73" s="164"/>
      <c r="G73" s="158"/>
      <c r="H73" s="154"/>
    </row>
    <row r="74" spans="2:20" ht="8.4" customHeight="1" x14ac:dyDescent="0.3">
      <c r="B74" s="119"/>
      <c r="E74" s="2"/>
      <c r="F74" s="61"/>
    </row>
    <row r="75" spans="2:20" x14ac:dyDescent="0.3">
      <c r="E75" s="4"/>
      <c r="F75" s="45"/>
      <c r="H75" s="101" t="s">
        <v>120</v>
      </c>
      <c r="I75" s="5"/>
      <c r="J75" s="5"/>
      <c r="K75" s="5"/>
    </row>
    <row r="76" spans="2:20" x14ac:dyDescent="0.3">
      <c r="E76" s="4"/>
      <c r="F76" s="61"/>
      <c r="H76" s="101" t="s">
        <v>56</v>
      </c>
      <c r="I76" s="5"/>
      <c r="J76" s="5"/>
      <c r="K76" s="5"/>
    </row>
    <row r="77" spans="2:20" x14ac:dyDescent="0.3">
      <c r="E77" s="4"/>
      <c r="H77" s="102"/>
      <c r="I77" s="121"/>
      <c r="J77" s="121"/>
      <c r="K77" s="121"/>
    </row>
    <row r="78" spans="2:20" x14ac:dyDescent="0.3">
      <c r="E78" s="4"/>
      <c r="F78" s="45"/>
      <c r="H78" s="102"/>
      <c r="I78" s="121"/>
      <c r="J78" s="121"/>
      <c r="K78" s="121"/>
    </row>
    <row r="79" spans="2:20" x14ac:dyDescent="0.3">
      <c r="E79" s="78"/>
      <c r="H79" s="102"/>
      <c r="I79" s="121"/>
      <c r="J79" s="121"/>
      <c r="K79" s="121"/>
    </row>
    <row r="80" spans="2:20" x14ac:dyDescent="0.3">
      <c r="E80" s="4"/>
      <c r="H80" s="103" t="s">
        <v>59</v>
      </c>
      <c r="I80" s="104"/>
      <c r="J80" s="104"/>
      <c r="K80" s="104"/>
    </row>
    <row r="81" spans="1:20" ht="10.5" customHeight="1" x14ac:dyDescent="0.3">
      <c r="E81" s="78"/>
      <c r="H81" s="101" t="s">
        <v>79</v>
      </c>
      <c r="I81" s="5"/>
      <c r="J81" s="5"/>
      <c r="K81" s="5"/>
    </row>
    <row r="82" spans="1:20" x14ac:dyDescent="0.3">
      <c r="E82" s="4"/>
      <c r="H82" s="101" t="s">
        <v>60</v>
      </c>
      <c r="I82" s="5"/>
      <c r="J82" s="5"/>
      <c r="K82" s="5"/>
    </row>
    <row r="83" spans="1:20" x14ac:dyDescent="0.3">
      <c r="B83" s="119"/>
      <c r="E83" s="2"/>
    </row>
    <row r="84" spans="1:20" x14ac:dyDescent="0.3">
      <c r="B84" s="119"/>
      <c r="E84" s="2"/>
    </row>
    <row r="87" spans="1:20" x14ac:dyDescent="0.3">
      <c r="E87" s="77"/>
    </row>
    <row r="88" spans="1:20" x14ac:dyDescent="0.3">
      <c r="E88" s="77"/>
    </row>
    <row r="89" spans="1:20" x14ac:dyDescent="0.3">
      <c r="E89" s="77"/>
    </row>
    <row r="90" spans="1:20" x14ac:dyDescent="0.3">
      <c r="E90" s="77"/>
    </row>
    <row r="91" spans="1:20" x14ac:dyDescent="0.3">
      <c r="E91" s="77"/>
    </row>
    <row r="92" spans="1:20" s="8" customFormat="1" x14ac:dyDescent="0.3">
      <c r="A92"/>
      <c r="B92"/>
      <c r="C92"/>
      <c r="D92"/>
      <c r="E92" s="77"/>
      <c r="F92"/>
      <c r="G92"/>
      <c r="H92"/>
      <c r="I92"/>
      <c r="J92"/>
      <c r="K92"/>
      <c r="L92"/>
      <c r="M92"/>
      <c r="N92"/>
      <c r="O92"/>
      <c r="P92"/>
      <c r="Q92"/>
      <c r="R92"/>
      <c r="S92"/>
      <c r="T92"/>
    </row>
    <row r="93" spans="1:20" s="8" customFormat="1" x14ac:dyDescent="0.3">
      <c r="A93"/>
      <c r="B93"/>
      <c r="C93"/>
      <c r="D93"/>
      <c r="E93" s="77"/>
      <c r="F93"/>
      <c r="G93"/>
      <c r="H93"/>
      <c r="I93"/>
      <c r="J93"/>
      <c r="K93"/>
      <c r="L93"/>
      <c r="M93"/>
      <c r="N93"/>
      <c r="O93"/>
      <c r="P93"/>
      <c r="Q93"/>
      <c r="R93"/>
      <c r="S93"/>
      <c r="T93"/>
    </row>
  </sheetData>
  <mergeCells count="173">
    <mergeCell ref="H72:H73"/>
    <mergeCell ref="B72:B73"/>
    <mergeCell ref="C72:C73"/>
    <mergeCell ref="D72:D73"/>
    <mergeCell ref="E72:E73"/>
    <mergeCell ref="F72:F73"/>
    <mergeCell ref="G72:G73"/>
    <mergeCell ref="O70:O71"/>
    <mergeCell ref="P70:P71"/>
    <mergeCell ref="B70:B71"/>
    <mergeCell ref="D70:D71"/>
    <mergeCell ref="E70:E71"/>
    <mergeCell ref="F70:F71"/>
    <mergeCell ref="G70:G71"/>
    <mergeCell ref="H70:H71"/>
    <mergeCell ref="Q70:Q71"/>
    <mergeCell ref="R70:R71"/>
    <mergeCell ref="S70:S71"/>
    <mergeCell ref="T70:T71"/>
    <mergeCell ref="I70:I71"/>
    <mergeCell ref="J70:J71"/>
    <mergeCell ref="K70:K71"/>
    <mergeCell ref="L70:L71"/>
    <mergeCell ref="M70:M71"/>
    <mergeCell ref="N70:N71"/>
    <mergeCell ref="B66:B67"/>
    <mergeCell ref="D66:D67"/>
    <mergeCell ref="E66:E67"/>
    <mergeCell ref="F66:F67"/>
    <mergeCell ref="G66:G67"/>
    <mergeCell ref="H66:H67"/>
    <mergeCell ref="B64:B65"/>
    <mergeCell ref="D64:D65"/>
    <mergeCell ref="E64:E65"/>
    <mergeCell ref="F64:F65"/>
    <mergeCell ref="G64:G65"/>
    <mergeCell ref="H64:H65"/>
    <mergeCell ref="B60:B61"/>
    <mergeCell ref="D60:D61"/>
    <mergeCell ref="E60:E61"/>
    <mergeCell ref="F60:F61"/>
    <mergeCell ref="G60:G61"/>
    <mergeCell ref="H60:H61"/>
    <mergeCell ref="B56:B57"/>
    <mergeCell ref="D56:D57"/>
    <mergeCell ref="E56:E57"/>
    <mergeCell ref="F56:F57"/>
    <mergeCell ref="G56:G57"/>
    <mergeCell ref="H56:H57"/>
    <mergeCell ref="B54:B55"/>
    <mergeCell ref="D54:D55"/>
    <mergeCell ref="E54:E55"/>
    <mergeCell ref="F54:F55"/>
    <mergeCell ref="G54:G55"/>
    <mergeCell ref="H54:H55"/>
    <mergeCell ref="B50:B51"/>
    <mergeCell ref="D50:D51"/>
    <mergeCell ref="E50:E51"/>
    <mergeCell ref="F50:F51"/>
    <mergeCell ref="G50:G51"/>
    <mergeCell ref="H50:H51"/>
    <mergeCell ref="B48:B49"/>
    <mergeCell ref="D48:D49"/>
    <mergeCell ref="E48:E49"/>
    <mergeCell ref="F48:F49"/>
    <mergeCell ref="G48:G49"/>
    <mergeCell ref="H48:H49"/>
    <mergeCell ref="B44:B45"/>
    <mergeCell ref="D44:D45"/>
    <mergeCell ref="E44:E45"/>
    <mergeCell ref="F44:F45"/>
    <mergeCell ref="G44:G45"/>
    <mergeCell ref="H44:H45"/>
    <mergeCell ref="B42:B43"/>
    <mergeCell ref="D42:D43"/>
    <mergeCell ref="E42:E43"/>
    <mergeCell ref="F42:F43"/>
    <mergeCell ref="G42:G43"/>
    <mergeCell ref="H42:H43"/>
    <mergeCell ref="B40:B41"/>
    <mergeCell ref="D40:D41"/>
    <mergeCell ref="E40:E41"/>
    <mergeCell ref="F40:F41"/>
    <mergeCell ref="G40:G41"/>
    <mergeCell ref="H40:H41"/>
    <mergeCell ref="B37:B38"/>
    <mergeCell ref="D37:D38"/>
    <mergeCell ref="E37:E38"/>
    <mergeCell ref="F37:F38"/>
    <mergeCell ref="G37:G38"/>
    <mergeCell ref="H37:H38"/>
    <mergeCell ref="B35:B36"/>
    <mergeCell ref="D35:D36"/>
    <mergeCell ref="E35:E36"/>
    <mergeCell ref="F35:F36"/>
    <mergeCell ref="G35:G36"/>
    <mergeCell ref="H35:H36"/>
    <mergeCell ref="B32:B33"/>
    <mergeCell ref="D32:D33"/>
    <mergeCell ref="E32:E33"/>
    <mergeCell ref="F32:F33"/>
    <mergeCell ref="G32:G33"/>
    <mergeCell ref="H32:H33"/>
    <mergeCell ref="B30:B31"/>
    <mergeCell ref="D30:D31"/>
    <mergeCell ref="E30:E31"/>
    <mergeCell ref="F30:F31"/>
    <mergeCell ref="G30:G31"/>
    <mergeCell ref="H30:H31"/>
    <mergeCell ref="B28:B29"/>
    <mergeCell ref="D28:D29"/>
    <mergeCell ref="E28:E29"/>
    <mergeCell ref="F28:F29"/>
    <mergeCell ref="G28:G29"/>
    <mergeCell ref="H28:H29"/>
    <mergeCell ref="B26:B27"/>
    <mergeCell ref="D26:D27"/>
    <mergeCell ref="E26:E27"/>
    <mergeCell ref="F26:F27"/>
    <mergeCell ref="G26:G27"/>
    <mergeCell ref="H26:H27"/>
    <mergeCell ref="B24:B25"/>
    <mergeCell ref="D24:D25"/>
    <mergeCell ref="E24:E25"/>
    <mergeCell ref="F24:F25"/>
    <mergeCell ref="G24:G25"/>
    <mergeCell ref="H24:H25"/>
    <mergeCell ref="B22:B23"/>
    <mergeCell ref="D22:D23"/>
    <mergeCell ref="E22:E23"/>
    <mergeCell ref="F22:F23"/>
    <mergeCell ref="G22:G23"/>
    <mergeCell ref="H22:H23"/>
    <mergeCell ref="B20:B21"/>
    <mergeCell ref="D20:D21"/>
    <mergeCell ref="E20:E21"/>
    <mergeCell ref="F20:F21"/>
    <mergeCell ref="G20:G21"/>
    <mergeCell ref="H20:H21"/>
    <mergeCell ref="B17:B18"/>
    <mergeCell ref="D17:D18"/>
    <mergeCell ref="E17:E18"/>
    <mergeCell ref="F17:F18"/>
    <mergeCell ref="G17:G18"/>
    <mergeCell ref="H17:H18"/>
    <mergeCell ref="B14:B15"/>
    <mergeCell ref="D14:D15"/>
    <mergeCell ref="E14:E15"/>
    <mergeCell ref="F14:F15"/>
    <mergeCell ref="G14:G15"/>
    <mergeCell ref="H14:H15"/>
    <mergeCell ref="B11:B12"/>
    <mergeCell ref="D11:D12"/>
    <mergeCell ref="E11:E12"/>
    <mergeCell ref="F11:F12"/>
    <mergeCell ref="G11:G12"/>
    <mergeCell ref="H11:H12"/>
    <mergeCell ref="B9:B10"/>
    <mergeCell ref="D9:D10"/>
    <mergeCell ref="E9:E10"/>
    <mergeCell ref="F9:F10"/>
    <mergeCell ref="G9:G10"/>
    <mergeCell ref="H9:H10"/>
    <mergeCell ref="B1:H1"/>
    <mergeCell ref="B2:H2"/>
    <mergeCell ref="B3:C3"/>
    <mergeCell ref="B4:B6"/>
    <mergeCell ref="C4:C6"/>
    <mergeCell ref="D4:D6"/>
    <mergeCell ref="E4:E6"/>
    <mergeCell ref="F4:F6"/>
    <mergeCell ref="G4:G6"/>
    <mergeCell ref="H4:H6"/>
  </mergeCells>
  <pageMargins left="1.1023622047244095" right="0.70866141732283472" top="0.74803149606299213" bottom="0.74803149606299213" header="0.31496062992125984" footer="0.31496062992125984"/>
  <pageSetup paperSize="5" scale="85" orientation="landscape" horizontalDpi="300" verticalDpi="300" r:id="rId1"/>
  <rowBreaks count="2" manualBreakCount="2">
    <brk id="38" max="7" man="1"/>
    <brk id="63" max="7"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3A2A-3EFD-4CDF-B921-76469E208093}">
  <dimension ref="A1:Z95"/>
  <sheetViews>
    <sheetView view="pageBreakPreview" zoomScale="78" zoomScaleNormal="75" zoomScaleSheetLayoutView="78" workbookViewId="0">
      <pane xSplit="3" ySplit="2" topLeftCell="D12" activePane="bottomRight" state="frozen"/>
      <selection pane="topRight" activeCell="C1" sqref="C1"/>
      <selection pane="bottomLeft" activeCell="A3" sqref="A3"/>
      <selection pane="bottomRight" activeCell="F22" sqref="F22:F23"/>
    </sheetView>
  </sheetViews>
  <sheetFormatPr defaultRowHeight="14.4" x14ac:dyDescent="0.3"/>
  <cols>
    <col min="1" max="1" width="8.33203125" style="79" customWidth="1"/>
    <col min="2" max="2" width="4.33203125" customWidth="1"/>
    <col min="3" max="3" width="38.44140625" customWidth="1"/>
    <col min="4" max="4" width="17.5546875" customWidth="1"/>
    <col min="5" max="6" width="18.21875" style="8" customWidth="1"/>
    <col min="7" max="7" width="18.21875" customWidth="1"/>
    <col min="8" max="8" width="9.6640625" bestFit="1" customWidth="1"/>
    <col min="9" max="11" width="19.109375" customWidth="1"/>
    <col min="12" max="12" width="9.33203125" bestFit="1" customWidth="1"/>
    <col min="13" max="13" width="15.5546875" customWidth="1"/>
    <col min="14" max="14" width="4.88671875" bestFit="1" customWidth="1"/>
    <col min="15" max="15" width="10.5546875" bestFit="1" customWidth="1"/>
  </cols>
  <sheetData>
    <row r="1" spans="1:19" x14ac:dyDescent="0.3">
      <c r="B1" s="212" t="s">
        <v>96</v>
      </c>
      <c r="C1" s="212"/>
      <c r="D1" s="212"/>
      <c r="E1" s="212"/>
      <c r="F1" s="212"/>
      <c r="G1" s="212"/>
      <c r="H1" s="212"/>
      <c r="I1" s="212"/>
      <c r="J1" s="212"/>
      <c r="K1" s="212"/>
      <c r="L1" s="212"/>
      <c r="M1" s="212"/>
      <c r="N1" s="212"/>
    </row>
    <row r="2" spans="1:19" x14ac:dyDescent="0.3">
      <c r="B2" s="212" t="s">
        <v>57</v>
      </c>
      <c r="C2" s="212"/>
      <c r="D2" s="212"/>
      <c r="E2" s="212"/>
      <c r="F2" s="212"/>
      <c r="G2" s="212"/>
      <c r="H2" s="212"/>
      <c r="I2" s="212"/>
      <c r="J2" s="212"/>
      <c r="K2" s="212"/>
      <c r="L2" s="212"/>
      <c r="M2" s="212"/>
      <c r="N2" s="212"/>
    </row>
    <row r="3" spans="1:19" x14ac:dyDescent="0.3">
      <c r="B3" s="213" t="s">
        <v>17</v>
      </c>
      <c r="C3" s="213"/>
      <c r="D3" s="1"/>
      <c r="E3" s="6"/>
      <c r="F3" s="6"/>
      <c r="G3" s="98"/>
      <c r="H3" s="98"/>
      <c r="I3" s="98"/>
      <c r="J3" s="98"/>
      <c r="K3" s="98"/>
      <c r="L3" s="98"/>
      <c r="M3" s="98"/>
      <c r="N3" s="98"/>
    </row>
    <row r="4" spans="1:19" x14ac:dyDescent="0.3">
      <c r="B4" s="213" t="s">
        <v>122</v>
      </c>
      <c r="C4" s="213"/>
      <c r="D4" s="1"/>
      <c r="E4" s="6"/>
      <c r="F4" s="6"/>
      <c r="G4" s="3"/>
      <c r="H4" s="98"/>
      <c r="I4" s="98"/>
      <c r="J4" s="98"/>
      <c r="K4" s="98"/>
      <c r="L4" s="98"/>
      <c r="M4" s="98"/>
      <c r="N4" s="98"/>
    </row>
    <row r="5" spans="1:19" x14ac:dyDescent="0.3">
      <c r="B5" s="213"/>
      <c r="C5" s="213"/>
      <c r="D5" s="1"/>
      <c r="E5" s="6"/>
      <c r="F5" s="6"/>
      <c r="G5" s="3"/>
      <c r="H5" s="98"/>
      <c r="I5" s="98"/>
      <c r="J5" s="98"/>
      <c r="K5" s="98"/>
      <c r="L5" s="98"/>
      <c r="M5" s="98"/>
      <c r="N5" s="98"/>
    </row>
    <row r="6" spans="1:19" x14ac:dyDescent="0.3">
      <c r="B6" s="180" t="s">
        <v>6</v>
      </c>
      <c r="C6" s="214" t="s">
        <v>7</v>
      </c>
      <c r="D6" s="9" t="s">
        <v>10</v>
      </c>
      <c r="E6" s="217" t="s">
        <v>9</v>
      </c>
      <c r="F6" s="218"/>
      <c r="G6" s="218"/>
      <c r="H6" s="219"/>
      <c r="I6" s="217" t="s">
        <v>14</v>
      </c>
      <c r="J6" s="218"/>
      <c r="K6" s="218"/>
      <c r="L6" s="219"/>
      <c r="M6" s="214" t="s">
        <v>15</v>
      </c>
      <c r="N6" s="180" t="s">
        <v>16</v>
      </c>
    </row>
    <row r="7" spans="1:19" x14ac:dyDescent="0.3">
      <c r="B7" s="192"/>
      <c r="C7" s="215"/>
      <c r="D7" s="10" t="s">
        <v>4</v>
      </c>
      <c r="E7" s="208" t="s">
        <v>11</v>
      </c>
      <c r="F7" s="208" t="s">
        <v>12</v>
      </c>
      <c r="G7" s="210" t="s">
        <v>13</v>
      </c>
      <c r="H7" s="180" t="s">
        <v>8</v>
      </c>
      <c r="I7" s="210" t="s">
        <v>11</v>
      </c>
      <c r="J7" s="210" t="s">
        <v>12</v>
      </c>
      <c r="K7" s="210" t="s">
        <v>13</v>
      </c>
      <c r="L7" s="180" t="s">
        <v>8</v>
      </c>
      <c r="M7" s="215"/>
      <c r="N7" s="192"/>
    </row>
    <row r="8" spans="1:19" x14ac:dyDescent="0.3">
      <c r="B8" s="181"/>
      <c r="C8" s="216"/>
      <c r="D8" s="11" t="s">
        <v>5</v>
      </c>
      <c r="E8" s="209"/>
      <c r="F8" s="209"/>
      <c r="G8" s="211"/>
      <c r="H8" s="181"/>
      <c r="I8" s="211"/>
      <c r="J8" s="211"/>
      <c r="K8" s="211"/>
      <c r="L8" s="181"/>
      <c r="M8" s="216"/>
      <c r="N8" s="181"/>
    </row>
    <row r="9" spans="1:19" s="73" customFormat="1" ht="33" customHeight="1" x14ac:dyDescent="0.3">
      <c r="A9" s="79"/>
      <c r="B9" s="41"/>
      <c r="C9" s="49" t="s">
        <v>68</v>
      </c>
      <c r="D9" s="51">
        <f>D10+D15+D18+D21+D36+D41</f>
        <v>2705364292</v>
      </c>
      <c r="E9" s="51">
        <f>I9</f>
        <v>610619654</v>
      </c>
      <c r="F9" s="51">
        <f>F10+F15+F18+F21+F36+F41</f>
        <v>175100804</v>
      </c>
      <c r="G9" s="51">
        <f>G10+G15+G18+G21+G36+G41</f>
        <v>785720458</v>
      </c>
      <c r="H9" s="50">
        <f>G9/D9</f>
        <v>0.29043055692109354</v>
      </c>
      <c r="I9" s="51">
        <f>I10+I15+I18+I21+I36+I41</f>
        <v>610619654</v>
      </c>
      <c r="J9" s="51">
        <f t="shared" ref="J9:K9" si="0">J10+J15+J18+J21+J36+J41</f>
        <v>175100804</v>
      </c>
      <c r="K9" s="51" t="e">
        <f t="shared" si="0"/>
        <v>#VALUE!</v>
      </c>
      <c r="L9" s="50" t="e">
        <f>K9/D9</f>
        <v>#VALUE!</v>
      </c>
      <c r="M9" s="72" t="e">
        <f>K9/D9</f>
        <v>#VALUE!</v>
      </c>
      <c r="N9" s="41"/>
      <c r="O9"/>
      <c r="P9"/>
      <c r="Q9"/>
      <c r="R9"/>
      <c r="S9"/>
    </row>
    <row r="10" spans="1:19" ht="30" customHeight="1" x14ac:dyDescent="0.3">
      <c r="B10" s="25"/>
      <c r="C10" s="26" t="s">
        <v>61</v>
      </c>
      <c r="D10" s="54">
        <f>SUM(D11:D14)</f>
        <v>10883200</v>
      </c>
      <c r="E10" s="54">
        <f>SUM(E11:E14)</f>
        <v>0</v>
      </c>
      <c r="F10" s="54">
        <f>SUM(F11:F14)</f>
        <v>0</v>
      </c>
      <c r="G10" s="54">
        <f>SUM(G11:G14)</f>
        <v>0</v>
      </c>
      <c r="H10" s="29">
        <f>G10/D10</f>
        <v>0</v>
      </c>
      <c r="I10" s="54">
        <f>SUM(I11:I14)</f>
        <v>0</v>
      </c>
      <c r="J10" s="54">
        <f>SUM(J11:J14)</f>
        <v>0</v>
      </c>
      <c r="K10" s="54" t="e">
        <f>SUM(K11:K14)</f>
        <v>#VALUE!</v>
      </c>
      <c r="L10" s="47" t="e">
        <f>K10/D10</f>
        <v>#VALUE!</v>
      </c>
      <c r="M10" s="67" t="e">
        <f>K10/D10</f>
        <v>#VALUE!</v>
      </c>
      <c r="N10" s="28"/>
    </row>
    <row r="11" spans="1:19" x14ac:dyDescent="0.3">
      <c r="B11" s="180">
        <v>1</v>
      </c>
      <c r="C11" s="12" t="s">
        <v>30</v>
      </c>
      <c r="D11" s="195">
        <v>8455200</v>
      </c>
      <c r="E11" s="188"/>
      <c r="F11" s="188"/>
      <c r="G11" s="174">
        <f>E11+F11</f>
        <v>0</v>
      </c>
      <c r="H11" s="177">
        <f>G11/D11</f>
        <v>0</v>
      </c>
      <c r="I11" s="174">
        <f>E11</f>
        <v>0</v>
      </c>
      <c r="J11" s="174">
        <f>F11</f>
        <v>0</v>
      </c>
      <c r="K11" s="174">
        <f>I11+J11</f>
        <v>0</v>
      </c>
      <c r="L11" s="175">
        <f>K11/D11</f>
        <v>0</v>
      </c>
      <c r="M11" s="185">
        <f>L11</f>
        <v>0</v>
      </c>
      <c r="N11" s="153"/>
    </row>
    <row r="12" spans="1:19" ht="32.25" customHeight="1" x14ac:dyDescent="0.3">
      <c r="B12" s="181"/>
      <c r="C12" s="13" t="s">
        <v>18</v>
      </c>
      <c r="D12" s="194"/>
      <c r="E12" s="172"/>
      <c r="F12" s="172"/>
      <c r="G12" s="171"/>
      <c r="H12" s="178"/>
      <c r="I12" s="171"/>
      <c r="J12" s="171"/>
      <c r="K12" s="171"/>
      <c r="L12" s="176"/>
      <c r="M12" s="178"/>
      <c r="N12" s="179"/>
    </row>
    <row r="13" spans="1:19" x14ac:dyDescent="0.3">
      <c r="B13" s="180">
        <v>2</v>
      </c>
      <c r="C13" s="12" t="s">
        <v>93</v>
      </c>
      <c r="D13" s="187">
        <v>2428000</v>
      </c>
      <c r="E13" s="188"/>
      <c r="F13" s="206"/>
      <c r="G13" s="174">
        <f>E13+F13</f>
        <v>0</v>
      </c>
      <c r="H13" s="177">
        <f>G13/D13</f>
        <v>0</v>
      </c>
      <c r="I13" s="174">
        <f>E13</f>
        <v>0</v>
      </c>
      <c r="J13" s="174" t="s">
        <v>124</v>
      </c>
      <c r="K13" s="174" t="e">
        <f>I13+J13</f>
        <v>#VALUE!</v>
      </c>
      <c r="L13" s="175" t="e">
        <f>K13/D13</f>
        <v>#VALUE!</v>
      </c>
      <c r="M13" s="185" t="e">
        <f>L13</f>
        <v>#VALUE!</v>
      </c>
      <c r="N13" s="153"/>
    </row>
    <row r="14" spans="1:19" ht="25.5" customHeight="1" x14ac:dyDescent="0.3">
      <c r="B14" s="181"/>
      <c r="C14" s="86" t="s">
        <v>94</v>
      </c>
      <c r="D14" s="205"/>
      <c r="E14" s="172"/>
      <c r="F14" s="207"/>
      <c r="G14" s="171"/>
      <c r="H14" s="178"/>
      <c r="I14" s="171"/>
      <c r="J14" s="171"/>
      <c r="K14" s="171"/>
      <c r="L14" s="176"/>
      <c r="M14" s="178"/>
      <c r="N14" s="179"/>
    </row>
    <row r="15" spans="1:19" x14ac:dyDescent="0.3">
      <c r="B15" s="25"/>
      <c r="C15" s="26" t="s">
        <v>62</v>
      </c>
      <c r="D15" s="55">
        <f>SUM(D16)</f>
        <v>2061154392</v>
      </c>
      <c r="E15" s="56">
        <f>SUM(E16)</f>
        <v>499075532</v>
      </c>
      <c r="F15" s="55">
        <f>SUM(F16)</f>
        <v>130848105</v>
      </c>
      <c r="G15" s="55">
        <f>SUM(G16)</f>
        <v>629923637</v>
      </c>
      <c r="H15" s="66">
        <f>G15/D15</f>
        <v>0.30561691033186805</v>
      </c>
      <c r="I15" s="56">
        <f>SUM(I16)</f>
        <v>499075532</v>
      </c>
      <c r="J15" s="56">
        <f>SUM(J16)</f>
        <v>130848105</v>
      </c>
      <c r="K15" s="56">
        <f>SUM(K16)</f>
        <v>629923637</v>
      </c>
      <c r="L15" s="29">
        <f>K15/D15</f>
        <v>0.30561691033186805</v>
      </c>
      <c r="M15" s="30">
        <f>K15/D15</f>
        <v>0.30561691033186805</v>
      </c>
      <c r="N15" s="31"/>
    </row>
    <row r="16" spans="1:19" x14ac:dyDescent="0.3">
      <c r="B16" s="180">
        <v>3</v>
      </c>
      <c r="C16" s="12" t="s">
        <v>33</v>
      </c>
      <c r="D16" s="187">
        <v>2061154392</v>
      </c>
      <c r="E16" s="203">
        <v>499075532</v>
      </c>
      <c r="F16" s="203">
        <f>629923637-E16</f>
        <v>130848105</v>
      </c>
      <c r="G16" s="174">
        <f>E16+F16</f>
        <v>629923637</v>
      </c>
      <c r="H16" s="177">
        <f>G16/D16</f>
        <v>0.30561691033186805</v>
      </c>
      <c r="I16" s="170">
        <f>E16</f>
        <v>499075532</v>
      </c>
      <c r="J16" s="170">
        <f>F16</f>
        <v>130848105</v>
      </c>
      <c r="K16" s="170">
        <f>I16+J16</f>
        <v>629923637</v>
      </c>
      <c r="L16" s="175">
        <f>K16/D16</f>
        <v>0.30561691033186805</v>
      </c>
      <c r="M16" s="185">
        <f>L16</f>
        <v>0.30561691033186805</v>
      </c>
      <c r="N16" s="153"/>
    </row>
    <row r="17" spans="2:14" ht="21" customHeight="1" x14ac:dyDescent="0.3">
      <c r="B17" s="192"/>
      <c r="C17" s="14" t="s">
        <v>19</v>
      </c>
      <c r="D17" s="182"/>
      <c r="E17" s="204"/>
      <c r="F17" s="204"/>
      <c r="G17" s="170"/>
      <c r="H17" s="177"/>
      <c r="I17" s="170"/>
      <c r="J17" s="170"/>
      <c r="K17" s="170"/>
      <c r="L17" s="175"/>
      <c r="M17" s="177"/>
      <c r="N17" s="179"/>
    </row>
    <row r="18" spans="2:14" ht="27" customHeight="1" x14ac:dyDescent="0.3">
      <c r="B18" s="32"/>
      <c r="C18" s="33" t="s">
        <v>69</v>
      </c>
      <c r="D18" s="57">
        <f>SUM(D19)</f>
        <v>50000000</v>
      </c>
      <c r="E18" s="57">
        <f>SUM(E19)</f>
        <v>0</v>
      </c>
      <c r="F18" s="57">
        <f>SUM(F19)</f>
        <v>0</v>
      </c>
      <c r="G18" s="57">
        <f>SUM(G19)</f>
        <v>0</v>
      </c>
      <c r="H18" s="48">
        <f>G18/D18</f>
        <v>0</v>
      </c>
      <c r="I18" s="57">
        <f>SUM(I19)</f>
        <v>0</v>
      </c>
      <c r="J18" s="57">
        <f>SUM(J19)</f>
        <v>0</v>
      </c>
      <c r="K18" s="57">
        <f>SUM(K19)</f>
        <v>0</v>
      </c>
      <c r="L18" s="47">
        <f>K18/D18</f>
        <v>0</v>
      </c>
      <c r="M18" s="47">
        <f>K18/D18</f>
        <v>0</v>
      </c>
      <c r="N18" s="34"/>
    </row>
    <row r="19" spans="2:14" x14ac:dyDescent="0.3">
      <c r="B19" s="192">
        <v>4</v>
      </c>
      <c r="C19" s="15" t="s">
        <v>49</v>
      </c>
      <c r="D19" s="182">
        <v>50000000</v>
      </c>
      <c r="E19" s="172"/>
      <c r="F19" s="172"/>
      <c r="G19" s="170">
        <f>E19+F19</f>
        <v>0</v>
      </c>
      <c r="H19" s="202">
        <f>G19/D19</f>
        <v>0</v>
      </c>
      <c r="I19" s="170">
        <f>SUM(E19)</f>
        <v>0</v>
      </c>
      <c r="J19" s="170">
        <f>F19</f>
        <v>0</v>
      </c>
      <c r="K19" s="170">
        <f>I19+J19</f>
        <v>0</v>
      </c>
      <c r="L19" s="201">
        <f>K19/D19</f>
        <v>0</v>
      </c>
      <c r="M19" s="202">
        <f>L19</f>
        <v>0</v>
      </c>
      <c r="N19" s="179"/>
    </row>
    <row r="20" spans="2:14" x14ac:dyDescent="0.3">
      <c r="B20" s="181"/>
      <c r="C20" s="16" t="s">
        <v>48</v>
      </c>
      <c r="D20" s="182"/>
      <c r="E20" s="172"/>
      <c r="F20" s="172"/>
      <c r="G20" s="170"/>
      <c r="H20" s="202"/>
      <c r="I20" s="170"/>
      <c r="J20" s="170"/>
      <c r="K20" s="170"/>
      <c r="L20" s="201"/>
      <c r="M20" s="200"/>
      <c r="N20" s="179"/>
    </row>
    <row r="21" spans="2:14" x14ac:dyDescent="0.3">
      <c r="B21" s="25"/>
      <c r="C21" s="35" t="s">
        <v>63</v>
      </c>
      <c r="D21" s="57">
        <f>SUM(D22:D35)</f>
        <v>79272400</v>
      </c>
      <c r="E21" s="57">
        <f>SUM(E22:E35)</f>
        <v>33145400</v>
      </c>
      <c r="F21" s="57">
        <f>SUM(F22:F35)</f>
        <v>230000</v>
      </c>
      <c r="G21" s="57">
        <f>SUM(G22:G35)</f>
        <v>33375400</v>
      </c>
      <c r="H21" s="66">
        <f>G21/D21</f>
        <v>0.42102169229139019</v>
      </c>
      <c r="I21" s="57">
        <f>SUM(I22:I35)</f>
        <v>33145400</v>
      </c>
      <c r="J21" s="57">
        <f>SUM(J22:J35)</f>
        <v>230000</v>
      </c>
      <c r="K21" s="57">
        <f>SUM(K22:K35)</f>
        <v>33375400</v>
      </c>
      <c r="L21" s="29">
        <f>K21/D21</f>
        <v>0.42102169229139019</v>
      </c>
      <c r="M21" s="30">
        <f>K21/D21</f>
        <v>0.42102169229139019</v>
      </c>
      <c r="N21" s="36"/>
    </row>
    <row r="22" spans="2:14" x14ac:dyDescent="0.3">
      <c r="B22" s="180">
        <v>5</v>
      </c>
      <c r="C22" s="17" t="s">
        <v>34</v>
      </c>
      <c r="D22" s="182">
        <v>6234000</v>
      </c>
      <c r="E22" s="172"/>
      <c r="F22" s="172"/>
      <c r="G22" s="174">
        <f>E22+F22</f>
        <v>0</v>
      </c>
      <c r="H22" s="199">
        <f>G22/D22</f>
        <v>0</v>
      </c>
      <c r="I22" s="189">
        <f>E22</f>
        <v>0</v>
      </c>
      <c r="J22" s="189">
        <f>F22</f>
        <v>0</v>
      </c>
      <c r="K22" s="189">
        <f>I22+J22</f>
        <v>0</v>
      </c>
      <c r="L22" s="197">
        <f>K22/D22</f>
        <v>0</v>
      </c>
      <c r="M22" s="198">
        <f>L22</f>
        <v>0</v>
      </c>
      <c r="N22" s="153"/>
    </row>
    <row r="23" spans="2:14" ht="35.25" customHeight="1" x14ac:dyDescent="0.3">
      <c r="B23" s="192"/>
      <c r="C23" s="16" t="s">
        <v>2</v>
      </c>
      <c r="D23" s="182"/>
      <c r="E23" s="172"/>
      <c r="F23" s="172"/>
      <c r="G23" s="171"/>
      <c r="H23" s="200"/>
      <c r="I23" s="189"/>
      <c r="J23" s="189"/>
      <c r="K23" s="189"/>
      <c r="L23" s="197"/>
      <c r="M23" s="198"/>
      <c r="N23" s="179"/>
    </row>
    <row r="24" spans="2:14" x14ac:dyDescent="0.3">
      <c r="B24" s="180">
        <v>6</v>
      </c>
      <c r="C24" s="74" t="s">
        <v>35</v>
      </c>
      <c r="D24" s="187">
        <v>9195100</v>
      </c>
      <c r="E24" s="188"/>
      <c r="F24" s="188"/>
      <c r="G24" s="174">
        <f>E24+F24</f>
        <v>0</v>
      </c>
      <c r="H24" s="199">
        <f>G24/D24</f>
        <v>0</v>
      </c>
      <c r="I24" s="189">
        <f>E24</f>
        <v>0</v>
      </c>
      <c r="J24" s="189">
        <f t="shared" ref="J24" si="1">F24</f>
        <v>0</v>
      </c>
      <c r="K24" s="189">
        <f t="shared" ref="K24" si="2">I24+J24</f>
        <v>0</v>
      </c>
      <c r="L24" s="197">
        <f>K24/D24</f>
        <v>0</v>
      </c>
      <c r="M24" s="198">
        <f>L24</f>
        <v>0</v>
      </c>
      <c r="N24" s="153"/>
    </row>
    <row r="25" spans="2:14" ht="31.5" customHeight="1" x14ac:dyDescent="0.3">
      <c r="B25" s="181"/>
      <c r="C25" s="13" t="s">
        <v>77</v>
      </c>
      <c r="D25" s="183"/>
      <c r="E25" s="173"/>
      <c r="F25" s="173"/>
      <c r="G25" s="171"/>
      <c r="H25" s="200"/>
      <c r="I25" s="189"/>
      <c r="J25" s="189"/>
      <c r="K25" s="189"/>
      <c r="L25" s="197"/>
      <c r="M25" s="198"/>
      <c r="N25" s="186"/>
    </row>
    <row r="26" spans="2:14" x14ac:dyDescent="0.3">
      <c r="B26" s="180">
        <v>7</v>
      </c>
      <c r="C26" s="17" t="s">
        <v>50</v>
      </c>
      <c r="D26" s="182">
        <v>6748500</v>
      </c>
      <c r="E26" s="172"/>
      <c r="F26" s="172"/>
      <c r="G26" s="170">
        <f>E26+F26</f>
        <v>0</v>
      </c>
      <c r="H26" s="177">
        <f>G26/D26</f>
        <v>0</v>
      </c>
      <c r="I26" s="189">
        <f t="shared" ref="I26:J26" si="3">E26</f>
        <v>0</v>
      </c>
      <c r="J26" s="189">
        <f t="shared" si="3"/>
        <v>0</v>
      </c>
      <c r="K26" s="189">
        <f t="shared" ref="K26" si="4">I26+J26</f>
        <v>0</v>
      </c>
      <c r="L26" s="175">
        <f>K26/D26</f>
        <v>0</v>
      </c>
      <c r="M26" s="196">
        <f>L26</f>
        <v>0</v>
      </c>
      <c r="N26" s="179"/>
    </row>
    <row r="27" spans="2:14" ht="18.75" customHeight="1" x14ac:dyDescent="0.3">
      <c r="B27" s="192"/>
      <c r="C27" s="16" t="s">
        <v>51</v>
      </c>
      <c r="D27" s="183"/>
      <c r="E27" s="172"/>
      <c r="F27" s="172"/>
      <c r="G27" s="171"/>
      <c r="H27" s="178"/>
      <c r="I27" s="189"/>
      <c r="J27" s="189"/>
      <c r="K27" s="189"/>
      <c r="L27" s="176"/>
      <c r="M27" s="196"/>
      <c r="N27" s="179"/>
    </row>
    <row r="28" spans="2:14" x14ac:dyDescent="0.3">
      <c r="B28" s="180">
        <v>8</v>
      </c>
      <c r="C28" s="12" t="s">
        <v>36</v>
      </c>
      <c r="D28" s="187">
        <v>4114800</v>
      </c>
      <c r="E28" s="188"/>
      <c r="F28" s="188"/>
      <c r="G28" s="174">
        <f>E28+F28</f>
        <v>0</v>
      </c>
      <c r="H28" s="177">
        <f>G28/D28</f>
        <v>0</v>
      </c>
      <c r="I28" s="189">
        <f t="shared" ref="I28:J28" si="5">E28</f>
        <v>0</v>
      </c>
      <c r="J28" s="189">
        <f t="shared" si="5"/>
        <v>0</v>
      </c>
      <c r="K28" s="189">
        <f t="shared" ref="K28" si="6">I28+J28</f>
        <v>0</v>
      </c>
      <c r="L28" s="175">
        <f>K28/D28</f>
        <v>0</v>
      </c>
      <c r="M28" s="185">
        <f>L28</f>
        <v>0</v>
      </c>
      <c r="N28" s="153"/>
    </row>
    <row r="29" spans="2:14" ht="31.5" customHeight="1" x14ac:dyDescent="0.3">
      <c r="B29" s="181"/>
      <c r="C29" s="16" t="s">
        <v>1</v>
      </c>
      <c r="D29" s="183"/>
      <c r="E29" s="172"/>
      <c r="F29" s="172"/>
      <c r="G29" s="171"/>
      <c r="H29" s="178"/>
      <c r="I29" s="189"/>
      <c r="J29" s="189"/>
      <c r="K29" s="189"/>
      <c r="L29" s="176"/>
      <c r="M29" s="178"/>
      <c r="N29" s="179"/>
    </row>
    <row r="30" spans="2:14" x14ac:dyDescent="0.3">
      <c r="B30" s="180">
        <v>9</v>
      </c>
      <c r="C30" s="12" t="s">
        <v>37</v>
      </c>
      <c r="D30" s="187">
        <v>1380000</v>
      </c>
      <c r="E30" s="188">
        <v>115000</v>
      </c>
      <c r="F30" s="188">
        <f>345000-E30</f>
        <v>230000</v>
      </c>
      <c r="G30" s="174">
        <f>E30+F30</f>
        <v>345000</v>
      </c>
      <c r="H30" s="185">
        <f>G30/D30</f>
        <v>0.25</v>
      </c>
      <c r="I30" s="189">
        <f t="shared" ref="I30:J30" si="7">E30</f>
        <v>115000</v>
      </c>
      <c r="J30" s="189">
        <f t="shared" si="7"/>
        <v>230000</v>
      </c>
      <c r="K30" s="189">
        <f t="shared" ref="K30" si="8">I30+J30</f>
        <v>345000</v>
      </c>
      <c r="L30" s="184">
        <f>K30/D30</f>
        <v>0.25</v>
      </c>
      <c r="M30" s="185">
        <f>L30</f>
        <v>0.25</v>
      </c>
      <c r="N30" s="153"/>
    </row>
    <row r="31" spans="2:14" ht="31.5" customHeight="1" x14ac:dyDescent="0.3">
      <c r="B31" s="181"/>
      <c r="C31" s="13" t="s">
        <v>3</v>
      </c>
      <c r="D31" s="183"/>
      <c r="E31" s="173"/>
      <c r="F31" s="173"/>
      <c r="G31" s="171"/>
      <c r="H31" s="178"/>
      <c r="I31" s="189"/>
      <c r="J31" s="189"/>
      <c r="K31" s="189"/>
      <c r="L31" s="176"/>
      <c r="M31" s="178"/>
      <c r="N31" s="186"/>
    </row>
    <row r="32" spans="2:14" x14ac:dyDescent="0.3">
      <c r="B32" s="180">
        <v>10</v>
      </c>
      <c r="C32" s="12" t="s">
        <v>38</v>
      </c>
      <c r="D32" s="187">
        <v>11550000</v>
      </c>
      <c r="E32" s="188"/>
      <c r="F32" s="188"/>
      <c r="G32" s="174">
        <f>E32+F32</f>
        <v>0</v>
      </c>
      <c r="H32" s="185">
        <f>G32/D32</f>
        <v>0</v>
      </c>
      <c r="I32" s="189">
        <f t="shared" ref="I32:J32" si="9">E32</f>
        <v>0</v>
      </c>
      <c r="J32" s="189">
        <f t="shared" si="9"/>
        <v>0</v>
      </c>
      <c r="K32" s="189">
        <f t="shared" ref="K32" si="10">I32+J32</f>
        <v>0</v>
      </c>
      <c r="L32" s="184">
        <f>K32/D32</f>
        <v>0</v>
      </c>
      <c r="M32" s="185">
        <f>L32</f>
        <v>0</v>
      </c>
      <c r="N32" s="153"/>
    </row>
    <row r="33" spans="2:14" ht="18.75" customHeight="1" x14ac:dyDescent="0.3">
      <c r="B33" s="181"/>
      <c r="C33" s="13" t="s">
        <v>20</v>
      </c>
      <c r="D33" s="183"/>
      <c r="E33" s="173"/>
      <c r="F33" s="173"/>
      <c r="G33" s="171"/>
      <c r="H33" s="178"/>
      <c r="I33" s="189"/>
      <c r="J33" s="189"/>
      <c r="K33" s="189"/>
      <c r="L33" s="176"/>
      <c r="M33" s="178"/>
      <c r="N33" s="186"/>
    </row>
    <row r="34" spans="2:14" x14ac:dyDescent="0.3">
      <c r="B34" s="180">
        <v>11</v>
      </c>
      <c r="C34" s="64" t="s">
        <v>52</v>
      </c>
      <c r="D34" s="187">
        <v>40050000</v>
      </c>
      <c r="E34" s="188">
        <v>33030400</v>
      </c>
      <c r="F34" s="188"/>
      <c r="G34" s="174">
        <f>E34+F34</f>
        <v>33030400</v>
      </c>
      <c r="H34" s="185">
        <f>G34/D34</f>
        <v>0.82472908863920102</v>
      </c>
      <c r="I34" s="189">
        <f t="shared" ref="I34:J34" si="11">E34</f>
        <v>33030400</v>
      </c>
      <c r="J34" s="189">
        <f t="shared" si="11"/>
        <v>0</v>
      </c>
      <c r="K34" s="189">
        <f t="shared" ref="K34" si="12">I34+J34</f>
        <v>33030400</v>
      </c>
      <c r="L34" s="184">
        <f>K34/D34</f>
        <v>0.82472908863920102</v>
      </c>
      <c r="M34" s="185">
        <f>L34</f>
        <v>0.82472908863920102</v>
      </c>
      <c r="N34" s="153"/>
    </row>
    <row r="35" spans="2:14" ht="30" customHeight="1" x14ac:dyDescent="0.3">
      <c r="B35" s="181"/>
      <c r="C35" s="13" t="s">
        <v>53</v>
      </c>
      <c r="D35" s="183"/>
      <c r="E35" s="173"/>
      <c r="F35" s="173"/>
      <c r="G35" s="171"/>
      <c r="H35" s="178"/>
      <c r="I35" s="189"/>
      <c r="J35" s="189"/>
      <c r="K35" s="189"/>
      <c r="L35" s="176"/>
      <c r="M35" s="178"/>
      <c r="N35" s="186"/>
    </row>
    <row r="36" spans="2:14" ht="27.75" customHeight="1" x14ac:dyDescent="0.3">
      <c r="B36" s="25"/>
      <c r="C36" s="35" t="s">
        <v>70</v>
      </c>
      <c r="D36" s="57">
        <f>SUM(D37:D40)</f>
        <v>467880000</v>
      </c>
      <c r="E36" s="57">
        <f>SUM(E37:E40)</f>
        <v>76269722</v>
      </c>
      <c r="F36" s="57">
        <f>SUM(F37:F40)</f>
        <v>38990699</v>
      </c>
      <c r="G36" s="57">
        <f>SUM(G37:G40)</f>
        <v>115260421</v>
      </c>
      <c r="H36" s="29">
        <f>G36/D36</f>
        <v>0.24634611652560487</v>
      </c>
      <c r="I36" s="57">
        <f>SUM(I37:I40)</f>
        <v>76269722</v>
      </c>
      <c r="J36" s="57">
        <f>SUM(J37:J40)</f>
        <v>38990699</v>
      </c>
      <c r="K36" s="57">
        <f>SUM(K37:K40)</f>
        <v>115260421</v>
      </c>
      <c r="L36" s="29">
        <f t="shared" ref="L36:L37" si="13">K36/D36</f>
        <v>0.24634611652560487</v>
      </c>
      <c r="M36" s="29">
        <f>K36/D36</f>
        <v>0.24634611652560487</v>
      </c>
      <c r="N36" s="34"/>
    </row>
    <row r="37" spans="2:14" x14ac:dyDescent="0.3">
      <c r="B37" s="180">
        <v>15</v>
      </c>
      <c r="C37" s="12" t="s">
        <v>39</v>
      </c>
      <c r="D37" s="195">
        <v>46200000</v>
      </c>
      <c r="E37" s="188">
        <v>5989722</v>
      </c>
      <c r="F37" s="188">
        <f>9840421-E37</f>
        <v>3850699</v>
      </c>
      <c r="G37" s="174">
        <f>E37+F37</f>
        <v>9840421</v>
      </c>
      <c r="H37" s="185">
        <f>G37/D37</f>
        <v>0.21299612554112554</v>
      </c>
      <c r="I37" s="174">
        <f>E37</f>
        <v>5989722</v>
      </c>
      <c r="J37" s="188">
        <f>F37</f>
        <v>3850699</v>
      </c>
      <c r="K37" s="174">
        <f>I37+J37</f>
        <v>9840421</v>
      </c>
      <c r="L37" s="184">
        <f t="shared" si="13"/>
        <v>0.21299612554112554</v>
      </c>
      <c r="M37" s="185">
        <f>L37</f>
        <v>0.21299612554112554</v>
      </c>
      <c r="N37" s="153"/>
    </row>
    <row r="38" spans="2:14" ht="25.5" customHeight="1" x14ac:dyDescent="0.3">
      <c r="B38" s="181"/>
      <c r="C38" s="13" t="s">
        <v>0</v>
      </c>
      <c r="D38" s="194"/>
      <c r="E38" s="172"/>
      <c r="F38" s="173"/>
      <c r="G38" s="171"/>
      <c r="H38" s="178"/>
      <c r="I38" s="171"/>
      <c r="J38" s="173"/>
      <c r="K38" s="171"/>
      <c r="L38" s="176"/>
      <c r="M38" s="178"/>
      <c r="N38" s="179"/>
    </row>
    <row r="39" spans="2:14" x14ac:dyDescent="0.3">
      <c r="B39" s="180">
        <v>16</v>
      </c>
      <c r="C39" s="12" t="s">
        <v>40</v>
      </c>
      <c r="D39" s="193">
        <v>421680000</v>
      </c>
      <c r="E39" s="188">
        <v>70280000</v>
      </c>
      <c r="F39" s="172">
        <f>105420000-E39</f>
        <v>35140000</v>
      </c>
      <c r="G39" s="170">
        <f>E39+F39</f>
        <v>105420000</v>
      </c>
      <c r="H39" s="177">
        <f>G39/D39</f>
        <v>0.25</v>
      </c>
      <c r="I39" s="174">
        <f>E39</f>
        <v>70280000</v>
      </c>
      <c r="J39" s="188">
        <f>F39</f>
        <v>35140000</v>
      </c>
      <c r="K39" s="170">
        <f>I39+J39</f>
        <v>105420000</v>
      </c>
      <c r="L39" s="175">
        <f>K39/D39</f>
        <v>0.25</v>
      </c>
      <c r="M39" s="177">
        <f>L39</f>
        <v>0.25</v>
      </c>
      <c r="N39" s="153"/>
    </row>
    <row r="40" spans="2:14" ht="21.6" customHeight="1" x14ac:dyDescent="0.3">
      <c r="B40" s="181"/>
      <c r="C40" s="75" t="s">
        <v>21</v>
      </c>
      <c r="D40" s="194"/>
      <c r="E40" s="173"/>
      <c r="F40" s="173"/>
      <c r="G40" s="171"/>
      <c r="H40" s="178"/>
      <c r="I40" s="171"/>
      <c r="J40" s="173"/>
      <c r="K40" s="171"/>
      <c r="L40" s="176"/>
      <c r="M40" s="178"/>
      <c r="N40" s="186"/>
    </row>
    <row r="41" spans="2:14" ht="28.5" customHeight="1" x14ac:dyDescent="0.3">
      <c r="B41" s="25"/>
      <c r="C41" s="76" t="s">
        <v>71</v>
      </c>
      <c r="D41" s="54">
        <f>SUM(D42:D47)</f>
        <v>36174300</v>
      </c>
      <c r="E41" s="54">
        <f>SUM(E42:E47)</f>
        <v>2129000</v>
      </c>
      <c r="F41" s="57">
        <f>SUM(F42:F47)</f>
        <v>5032000</v>
      </c>
      <c r="G41" s="54">
        <f>SUM(G42:G47)</f>
        <v>7161000</v>
      </c>
      <c r="H41" s="29">
        <v>0.1027</v>
      </c>
      <c r="I41" s="54">
        <f>SUM(I42:I47)</f>
        <v>2129000</v>
      </c>
      <c r="J41" s="54">
        <f>SUM(J42:J47)</f>
        <v>5032000</v>
      </c>
      <c r="K41" s="54">
        <f>SUM(K42:K47)</f>
        <v>7161000</v>
      </c>
      <c r="L41" s="29">
        <f>K41/D41</f>
        <v>0.19795821895655202</v>
      </c>
      <c r="M41" s="30">
        <f>K41/D41</f>
        <v>0.19795821895655202</v>
      </c>
      <c r="N41" s="31"/>
    </row>
    <row r="42" spans="2:14" x14ac:dyDescent="0.3">
      <c r="B42" s="180">
        <v>17</v>
      </c>
      <c r="C42" s="12" t="s">
        <v>32</v>
      </c>
      <c r="D42" s="187">
        <v>21430000</v>
      </c>
      <c r="E42" s="188">
        <v>1729000</v>
      </c>
      <c r="F42" s="172">
        <f>6761000-E42</f>
        <v>5032000</v>
      </c>
      <c r="G42" s="174">
        <f>E42+F42</f>
        <v>6761000</v>
      </c>
      <c r="H42" s="185">
        <f>G42/D42</f>
        <v>0.31549230051329913</v>
      </c>
      <c r="I42" s="174">
        <f>E42</f>
        <v>1729000</v>
      </c>
      <c r="J42" s="188">
        <f>F42</f>
        <v>5032000</v>
      </c>
      <c r="K42" s="174">
        <f>I42+J42</f>
        <v>6761000</v>
      </c>
      <c r="L42" s="184">
        <f>K42/D42</f>
        <v>0.31549230051329913</v>
      </c>
      <c r="M42" s="185">
        <f>L42</f>
        <v>0.31549230051329913</v>
      </c>
      <c r="N42" s="153"/>
    </row>
    <row r="43" spans="2:14" ht="54.75" customHeight="1" x14ac:dyDescent="0.3">
      <c r="B43" s="181"/>
      <c r="C43" s="13" t="s">
        <v>78</v>
      </c>
      <c r="D43" s="183"/>
      <c r="E43" s="172"/>
      <c r="F43" s="173"/>
      <c r="G43" s="171"/>
      <c r="H43" s="178"/>
      <c r="I43" s="171"/>
      <c r="J43" s="173"/>
      <c r="K43" s="171"/>
      <c r="L43" s="176"/>
      <c r="M43" s="178"/>
      <c r="N43" s="179"/>
    </row>
    <row r="44" spans="2:14" x14ac:dyDescent="0.3">
      <c r="B44" s="180">
        <v>18</v>
      </c>
      <c r="C44" s="12" t="s">
        <v>31</v>
      </c>
      <c r="D44" s="187">
        <v>4140000</v>
      </c>
      <c r="E44" s="188">
        <v>400000</v>
      </c>
      <c r="F44" s="172"/>
      <c r="G44" s="170">
        <f>E44+F44</f>
        <v>400000</v>
      </c>
      <c r="H44" s="177">
        <f>G44/D44</f>
        <v>9.6618357487922704E-2</v>
      </c>
      <c r="I44" s="174">
        <f t="shared" ref="I44:J44" si="14">E44</f>
        <v>400000</v>
      </c>
      <c r="J44" s="188">
        <f t="shared" si="14"/>
        <v>0</v>
      </c>
      <c r="K44" s="170">
        <f>I44+J44</f>
        <v>400000</v>
      </c>
      <c r="L44" s="175">
        <f>K44/D44</f>
        <v>9.6618357487922704E-2</v>
      </c>
      <c r="M44" s="177">
        <f>L44</f>
        <v>9.6618357487922704E-2</v>
      </c>
      <c r="N44" s="153"/>
    </row>
    <row r="45" spans="2:14" ht="27" customHeight="1" x14ac:dyDescent="0.3">
      <c r="B45" s="181"/>
      <c r="C45" s="16" t="s">
        <v>22</v>
      </c>
      <c r="D45" s="183"/>
      <c r="E45" s="172"/>
      <c r="F45" s="172"/>
      <c r="G45" s="171"/>
      <c r="H45" s="178"/>
      <c r="I45" s="171"/>
      <c r="J45" s="173"/>
      <c r="K45" s="171"/>
      <c r="L45" s="176"/>
      <c r="M45" s="178"/>
      <c r="N45" s="179"/>
    </row>
    <row r="46" spans="2:14" x14ac:dyDescent="0.3">
      <c r="B46" s="180">
        <v>19</v>
      </c>
      <c r="C46" s="12" t="s">
        <v>81</v>
      </c>
      <c r="D46" s="187">
        <v>10604300</v>
      </c>
      <c r="E46" s="188"/>
      <c r="F46" s="188"/>
      <c r="G46" s="174">
        <f>E46+F46</f>
        <v>0</v>
      </c>
      <c r="H46" s="185">
        <f>G46/D46</f>
        <v>0</v>
      </c>
      <c r="I46" s="174">
        <f t="shared" ref="I46:J46" si="15">E46</f>
        <v>0</v>
      </c>
      <c r="J46" s="188">
        <f t="shared" si="15"/>
        <v>0</v>
      </c>
      <c r="K46" s="174">
        <f>I46+J46</f>
        <v>0</v>
      </c>
      <c r="L46" s="184">
        <f>K46/D46</f>
        <v>0</v>
      </c>
      <c r="M46" s="185">
        <f>L46</f>
        <v>0</v>
      </c>
      <c r="N46" s="153"/>
    </row>
    <row r="47" spans="2:14" ht="44.25" customHeight="1" x14ac:dyDescent="0.3">
      <c r="B47" s="181"/>
      <c r="C47" s="16" t="s">
        <v>80</v>
      </c>
      <c r="D47" s="183"/>
      <c r="E47" s="173"/>
      <c r="F47" s="173"/>
      <c r="G47" s="171"/>
      <c r="H47" s="178"/>
      <c r="I47" s="171"/>
      <c r="J47" s="173"/>
      <c r="K47" s="171"/>
      <c r="L47" s="176"/>
      <c r="M47" s="178"/>
      <c r="N47" s="186"/>
    </row>
    <row r="48" spans="2:14" ht="31.8" customHeight="1" x14ac:dyDescent="0.3">
      <c r="B48" s="18"/>
      <c r="C48" s="19" t="s">
        <v>76</v>
      </c>
      <c r="D48" s="58">
        <f>SUM(D49)</f>
        <v>4271800</v>
      </c>
      <c r="E48" s="52">
        <f>SUM(E49)</f>
        <v>0</v>
      </c>
      <c r="F48" s="52">
        <f>SUM(F49)</f>
        <v>0</v>
      </c>
      <c r="G48" s="58">
        <f>SUM(G49)</f>
        <v>0</v>
      </c>
      <c r="H48" s="44">
        <f>G48/D48</f>
        <v>0</v>
      </c>
      <c r="I48" s="58">
        <f>SUM(I49)</f>
        <v>0</v>
      </c>
      <c r="J48" s="58">
        <f>SUM(J49)</f>
        <v>0</v>
      </c>
      <c r="K48" s="58">
        <f>SUM(K49)</f>
        <v>0</v>
      </c>
      <c r="L48" s="44">
        <f>K48/D48</f>
        <v>0</v>
      </c>
      <c r="M48" s="20">
        <f>K48/D48</f>
        <v>0</v>
      </c>
      <c r="N48" s="21"/>
    </row>
    <row r="49" spans="2:15" ht="41.25" customHeight="1" x14ac:dyDescent="0.3">
      <c r="B49" s="32"/>
      <c r="C49" s="35" t="s">
        <v>64</v>
      </c>
      <c r="D49" s="57">
        <f>SUM(D50:D53)</f>
        <v>4271800</v>
      </c>
      <c r="E49" s="57">
        <f>SUM(E50:E53)</f>
        <v>0</v>
      </c>
      <c r="F49" s="57">
        <f>SUM(F50:F53)</f>
        <v>0</v>
      </c>
      <c r="G49" s="57">
        <f>SUM(G50:G53)</f>
        <v>0</v>
      </c>
      <c r="H49" s="48">
        <f>G49/D49</f>
        <v>0</v>
      </c>
      <c r="I49" s="57">
        <f>SUM(I50:I53)</f>
        <v>0</v>
      </c>
      <c r="J49" s="57">
        <f>SUM(J50:J53)</f>
        <v>0</v>
      </c>
      <c r="K49" s="57">
        <f>SUM(K50:K53)</f>
        <v>0</v>
      </c>
      <c r="L49" s="47">
        <f>K49/D49</f>
        <v>0</v>
      </c>
      <c r="M49" s="29">
        <f>K49/D49</f>
        <v>0</v>
      </c>
      <c r="N49" s="37"/>
    </row>
    <row r="50" spans="2:15" x14ac:dyDescent="0.3">
      <c r="B50" s="192">
        <v>20</v>
      </c>
      <c r="C50" s="17" t="s">
        <v>41</v>
      </c>
      <c r="D50" s="182">
        <v>940000</v>
      </c>
      <c r="E50" s="188">
        <v>0</v>
      </c>
      <c r="F50" s="188"/>
      <c r="G50" s="170">
        <f>E50+F50</f>
        <v>0</v>
      </c>
      <c r="H50" s="177">
        <f>G50/D50</f>
        <v>0</v>
      </c>
      <c r="I50" s="170">
        <f>E50</f>
        <v>0</v>
      </c>
      <c r="J50" s="170">
        <f>F50</f>
        <v>0</v>
      </c>
      <c r="K50" s="170">
        <f>I50+J50</f>
        <v>0</v>
      </c>
      <c r="L50" s="175">
        <f>K50/D50</f>
        <v>0</v>
      </c>
      <c r="M50" s="177">
        <f>L50</f>
        <v>0</v>
      </c>
      <c r="N50" s="179"/>
    </row>
    <row r="51" spans="2:15" ht="39.75" customHeight="1" x14ac:dyDescent="0.3">
      <c r="B51" s="181"/>
      <c r="C51" s="16" t="s">
        <v>23</v>
      </c>
      <c r="D51" s="183"/>
      <c r="E51" s="172"/>
      <c r="F51" s="172"/>
      <c r="G51" s="171"/>
      <c r="H51" s="178"/>
      <c r="I51" s="171"/>
      <c r="J51" s="171"/>
      <c r="K51" s="171"/>
      <c r="L51" s="176"/>
      <c r="M51" s="178"/>
      <c r="N51" s="179"/>
    </row>
    <row r="52" spans="2:15" x14ac:dyDescent="0.3">
      <c r="B52" s="180">
        <v>21</v>
      </c>
      <c r="C52" s="12" t="s">
        <v>42</v>
      </c>
      <c r="D52" s="187">
        <v>3331800</v>
      </c>
      <c r="E52" s="188"/>
      <c r="F52" s="188"/>
      <c r="G52" s="174">
        <f>E52+F52</f>
        <v>0</v>
      </c>
      <c r="H52" s="185">
        <f>G52/D52</f>
        <v>0</v>
      </c>
      <c r="I52" s="170">
        <f>E52</f>
        <v>0</v>
      </c>
      <c r="J52" s="170">
        <f>F52</f>
        <v>0</v>
      </c>
      <c r="K52" s="174">
        <f>I52+J52</f>
        <v>0</v>
      </c>
      <c r="L52" s="184">
        <f>K52/D52</f>
        <v>0</v>
      </c>
      <c r="M52" s="185">
        <f>L52</f>
        <v>0</v>
      </c>
      <c r="N52" s="153"/>
    </row>
    <row r="53" spans="2:15" ht="27.6" x14ac:dyDescent="0.3">
      <c r="B53" s="181"/>
      <c r="C53" s="13" t="s">
        <v>24</v>
      </c>
      <c r="D53" s="183"/>
      <c r="E53" s="173"/>
      <c r="F53" s="173"/>
      <c r="G53" s="171"/>
      <c r="H53" s="178"/>
      <c r="I53" s="171"/>
      <c r="J53" s="171"/>
      <c r="K53" s="171"/>
      <c r="L53" s="176"/>
      <c r="M53" s="178"/>
      <c r="N53" s="186"/>
    </row>
    <row r="54" spans="2:15" ht="30" customHeight="1" x14ac:dyDescent="0.3">
      <c r="B54" s="18"/>
      <c r="C54" s="22" t="s">
        <v>72</v>
      </c>
      <c r="D54" s="53">
        <f>D55</f>
        <v>15000000</v>
      </c>
      <c r="E54" s="53">
        <f t="shared" ref="E54:M54" si="16">E55</f>
        <v>9000000</v>
      </c>
      <c r="F54" s="53">
        <f t="shared" si="16"/>
        <v>0</v>
      </c>
      <c r="G54" s="53">
        <f t="shared" si="16"/>
        <v>9000000</v>
      </c>
      <c r="H54" s="80">
        <f>H55</f>
        <v>0.6</v>
      </c>
      <c r="I54" s="53">
        <f t="shared" si="16"/>
        <v>9000000</v>
      </c>
      <c r="J54" s="53">
        <f t="shared" si="16"/>
        <v>0</v>
      </c>
      <c r="K54" s="53">
        <f t="shared" si="16"/>
        <v>9000000</v>
      </c>
      <c r="L54" s="80">
        <f>L55</f>
        <v>0.6</v>
      </c>
      <c r="M54" s="80">
        <f t="shared" si="16"/>
        <v>0.6</v>
      </c>
      <c r="N54" s="24"/>
    </row>
    <row r="55" spans="2:15" ht="17.25" customHeight="1" x14ac:dyDescent="0.3">
      <c r="B55" s="27"/>
      <c r="C55" s="35" t="s">
        <v>65</v>
      </c>
      <c r="D55" s="57">
        <f>SUM(D56:D59)</f>
        <v>15000000</v>
      </c>
      <c r="E55" s="57">
        <f>SUM(E56:E59)</f>
        <v>9000000</v>
      </c>
      <c r="F55" s="57">
        <f>SUM(F56:F59)</f>
        <v>0</v>
      </c>
      <c r="G55" s="57">
        <f>SUM(G56:G59)</f>
        <v>9000000</v>
      </c>
      <c r="H55" s="48">
        <f>G55/D55</f>
        <v>0.6</v>
      </c>
      <c r="I55" s="57">
        <f>SUM(I56:I59)</f>
        <v>9000000</v>
      </c>
      <c r="J55" s="57">
        <f>SUM(J56:J59)</f>
        <v>0</v>
      </c>
      <c r="K55" s="57">
        <f>SUM(K56:K59)</f>
        <v>9000000</v>
      </c>
      <c r="L55" s="47">
        <f>K55/D55</f>
        <v>0.6</v>
      </c>
      <c r="M55" s="47">
        <f>SUM(L55)</f>
        <v>0.6</v>
      </c>
      <c r="N55" s="37"/>
    </row>
    <row r="56" spans="2:15" x14ac:dyDescent="0.3">
      <c r="B56" s="192">
        <v>22</v>
      </c>
      <c r="C56" s="15" t="s">
        <v>55</v>
      </c>
      <c r="D56" s="182">
        <v>9000000</v>
      </c>
      <c r="E56" s="172">
        <v>9000000</v>
      </c>
      <c r="F56" s="172">
        <f>9000000-E56</f>
        <v>0</v>
      </c>
      <c r="G56" s="170">
        <f>E56+F56</f>
        <v>9000000</v>
      </c>
      <c r="H56" s="177">
        <f>G56/D56</f>
        <v>1</v>
      </c>
      <c r="I56" s="170">
        <f>E56</f>
        <v>9000000</v>
      </c>
      <c r="J56" s="172">
        <f>F56</f>
        <v>0</v>
      </c>
      <c r="K56" s="170">
        <f>I56+J56</f>
        <v>9000000</v>
      </c>
      <c r="L56" s="175">
        <f>K56/D56</f>
        <v>1</v>
      </c>
      <c r="M56" s="177">
        <f>L56</f>
        <v>1</v>
      </c>
      <c r="N56" s="179"/>
    </row>
    <row r="57" spans="2:15" ht="42" customHeight="1" x14ac:dyDescent="0.3">
      <c r="B57" s="181"/>
      <c r="C57" s="13" t="s">
        <v>54</v>
      </c>
      <c r="D57" s="183"/>
      <c r="E57" s="173"/>
      <c r="F57" s="173"/>
      <c r="G57" s="171"/>
      <c r="H57" s="178"/>
      <c r="I57" s="171"/>
      <c r="J57" s="173"/>
      <c r="K57" s="171"/>
      <c r="L57" s="176"/>
      <c r="M57" s="178"/>
      <c r="N57" s="186"/>
      <c r="O57" s="45"/>
    </row>
    <row r="58" spans="2:15" x14ac:dyDescent="0.3">
      <c r="B58" s="180">
        <v>23</v>
      </c>
      <c r="C58" s="12" t="s">
        <v>43</v>
      </c>
      <c r="D58" s="187">
        <v>6000000</v>
      </c>
      <c r="E58" s="188"/>
      <c r="F58" s="188"/>
      <c r="G58" s="174">
        <f>E58+F58</f>
        <v>0</v>
      </c>
      <c r="H58" s="185">
        <f>G58/D58</f>
        <v>0</v>
      </c>
      <c r="I58" s="189">
        <f>E58</f>
        <v>0</v>
      </c>
      <c r="J58" s="188">
        <f>F58</f>
        <v>0</v>
      </c>
      <c r="K58" s="174">
        <f>I58+J58</f>
        <v>0</v>
      </c>
      <c r="L58" s="184">
        <f>K58/D58</f>
        <v>0</v>
      </c>
      <c r="M58" s="185">
        <f>L58</f>
        <v>0</v>
      </c>
      <c r="N58" s="190"/>
    </row>
    <row r="59" spans="2:15" ht="42" customHeight="1" x14ac:dyDescent="0.3">
      <c r="B59" s="181"/>
      <c r="C59" s="13" t="s">
        <v>25</v>
      </c>
      <c r="D59" s="183"/>
      <c r="E59" s="173"/>
      <c r="F59" s="173"/>
      <c r="G59" s="171"/>
      <c r="H59" s="178"/>
      <c r="I59" s="189"/>
      <c r="J59" s="173"/>
      <c r="K59" s="171"/>
      <c r="L59" s="176"/>
      <c r="M59" s="178"/>
      <c r="N59" s="191"/>
    </row>
    <row r="60" spans="2:15" ht="27.75" customHeight="1" x14ac:dyDescent="0.3">
      <c r="B60" s="18"/>
      <c r="C60" s="19" t="s">
        <v>73</v>
      </c>
      <c r="D60" s="58">
        <f t="shared" ref="D60:G61" si="17">SUM(D61)</f>
        <v>21600000</v>
      </c>
      <c r="E60" s="52">
        <f t="shared" si="17"/>
        <v>3600000</v>
      </c>
      <c r="F60" s="58">
        <f t="shared" si="17"/>
        <v>1800000</v>
      </c>
      <c r="G60" s="58">
        <f t="shared" si="17"/>
        <v>5400000</v>
      </c>
      <c r="H60" s="46">
        <f>G60/D60</f>
        <v>0.25</v>
      </c>
      <c r="I60" s="58">
        <f t="shared" ref="I60:K61" si="18">SUM(I61)</f>
        <v>3600000</v>
      </c>
      <c r="J60" s="58">
        <f t="shared" si="18"/>
        <v>1800000</v>
      </c>
      <c r="K60" s="58">
        <f t="shared" si="18"/>
        <v>5400000</v>
      </c>
      <c r="L60" s="44">
        <f>K60/D60</f>
        <v>0.25</v>
      </c>
      <c r="M60" s="23">
        <f>SUM(L60)</f>
        <v>0.25</v>
      </c>
      <c r="N60" s="21"/>
    </row>
    <row r="61" spans="2:15" ht="25.5" customHeight="1" x14ac:dyDescent="0.3">
      <c r="B61" s="25"/>
      <c r="C61" s="38" t="s">
        <v>82</v>
      </c>
      <c r="D61" s="59">
        <f t="shared" si="17"/>
        <v>21600000</v>
      </c>
      <c r="E61" s="60">
        <f t="shared" si="17"/>
        <v>3600000</v>
      </c>
      <c r="F61" s="59">
        <f t="shared" si="17"/>
        <v>1800000</v>
      </c>
      <c r="G61" s="57">
        <f t="shared" si="17"/>
        <v>5400000</v>
      </c>
      <c r="H61" s="47">
        <f>G61/D61</f>
        <v>0.25</v>
      </c>
      <c r="I61" s="59">
        <f t="shared" si="18"/>
        <v>3600000</v>
      </c>
      <c r="J61" s="59">
        <f t="shared" si="18"/>
        <v>1800000</v>
      </c>
      <c r="K61" s="59">
        <f t="shared" si="18"/>
        <v>5400000</v>
      </c>
      <c r="L61" s="47">
        <f>K61/D61</f>
        <v>0.25</v>
      </c>
      <c r="M61" s="30">
        <f>SUM(L61)</f>
        <v>0.25</v>
      </c>
      <c r="N61" s="31"/>
    </row>
    <row r="62" spans="2:15" x14ac:dyDescent="0.3">
      <c r="B62" s="180">
        <v>25</v>
      </c>
      <c r="C62" s="12" t="s">
        <v>44</v>
      </c>
      <c r="D62" s="187">
        <v>21600000</v>
      </c>
      <c r="E62" s="188">
        <v>3600000</v>
      </c>
      <c r="F62" s="188">
        <f>5400000-E62</f>
        <v>1800000</v>
      </c>
      <c r="G62" s="170">
        <f>E62+F62</f>
        <v>5400000</v>
      </c>
      <c r="H62" s="185">
        <f>G62/D62</f>
        <v>0.25</v>
      </c>
      <c r="I62" s="174">
        <f>E62</f>
        <v>3600000</v>
      </c>
      <c r="J62" s="188">
        <f>F62</f>
        <v>1800000</v>
      </c>
      <c r="K62" s="174">
        <f>I62+J62</f>
        <v>5400000</v>
      </c>
      <c r="L62" s="184">
        <f>K62/D62</f>
        <v>0.25</v>
      </c>
      <c r="M62" s="185">
        <f>L62</f>
        <v>0.25</v>
      </c>
      <c r="N62" s="153"/>
    </row>
    <row r="63" spans="2:15" ht="53.25" customHeight="1" x14ac:dyDescent="0.3">
      <c r="B63" s="181"/>
      <c r="C63" s="13" t="s">
        <v>26</v>
      </c>
      <c r="D63" s="183"/>
      <c r="E63" s="173"/>
      <c r="F63" s="173"/>
      <c r="G63" s="170"/>
      <c r="H63" s="178"/>
      <c r="I63" s="171"/>
      <c r="J63" s="173"/>
      <c r="K63" s="170"/>
      <c r="L63" s="176"/>
      <c r="M63" s="178"/>
      <c r="N63" s="186"/>
    </row>
    <row r="64" spans="2:15" ht="28.5" customHeight="1" x14ac:dyDescent="0.3">
      <c r="B64" s="18"/>
      <c r="C64" s="87" t="s">
        <v>74</v>
      </c>
      <c r="D64" s="58">
        <f>SUM(D65)</f>
        <v>48250000</v>
      </c>
      <c r="E64" s="52">
        <f>SUM(E65)</f>
        <v>0</v>
      </c>
      <c r="F64" s="58">
        <f>SUM(F65)</f>
        <v>0</v>
      </c>
      <c r="G64" s="58">
        <f>SUM(G65)</f>
        <v>0</v>
      </c>
      <c r="H64" s="46">
        <f>G64/D64</f>
        <v>0</v>
      </c>
      <c r="I64" s="58">
        <f>SUM(I65)</f>
        <v>0</v>
      </c>
      <c r="J64" s="58">
        <f>SUM(J65)</f>
        <v>0</v>
      </c>
      <c r="K64" s="58">
        <f>SUM(K65)</f>
        <v>0</v>
      </c>
      <c r="L64" s="46">
        <f>K64/D64</f>
        <v>0</v>
      </c>
      <c r="M64" s="23">
        <f>SUM(L64)</f>
        <v>0</v>
      </c>
      <c r="N64" s="21"/>
    </row>
    <row r="65" spans="2:26" ht="30" customHeight="1" x14ac:dyDescent="0.3">
      <c r="B65" s="65"/>
      <c r="C65" s="35" t="s">
        <v>66</v>
      </c>
      <c r="D65" s="57">
        <f>SUM(D66:D69)</f>
        <v>48250000</v>
      </c>
      <c r="E65" s="57">
        <f>SUM(E66:E69)</f>
        <v>0</v>
      </c>
      <c r="F65" s="57">
        <f>SUM(F66:F69)</f>
        <v>0</v>
      </c>
      <c r="G65" s="57">
        <f>SUM(G66:G69)</f>
        <v>0</v>
      </c>
      <c r="H65" s="47">
        <f>G65/D65</f>
        <v>0</v>
      </c>
      <c r="I65" s="57">
        <f>SUM(I66:I69)</f>
        <v>0</v>
      </c>
      <c r="J65" s="57">
        <f>SUM(J66:J69)</f>
        <v>0</v>
      </c>
      <c r="K65" s="57">
        <f>SUM(K66:K69)</f>
        <v>0</v>
      </c>
      <c r="L65" s="47">
        <f>K65/D65</f>
        <v>0</v>
      </c>
      <c r="M65" s="29">
        <f>SUM(L65)</f>
        <v>0</v>
      </c>
      <c r="N65" s="37"/>
    </row>
    <row r="66" spans="2:26" x14ac:dyDescent="0.3">
      <c r="B66" s="180">
        <v>26</v>
      </c>
      <c r="C66" s="12" t="s">
        <v>45</v>
      </c>
      <c r="D66" s="187">
        <v>44250000</v>
      </c>
      <c r="E66" s="188"/>
      <c r="F66" s="188"/>
      <c r="G66" s="174">
        <f>E66+F66</f>
        <v>0</v>
      </c>
      <c r="H66" s="185">
        <f>G66/D66</f>
        <v>0</v>
      </c>
      <c r="I66" s="174">
        <f>E66</f>
        <v>0</v>
      </c>
      <c r="J66" s="174">
        <f>F66</f>
        <v>0</v>
      </c>
      <c r="K66" s="174">
        <f>I66+J66</f>
        <v>0</v>
      </c>
      <c r="L66" s="184">
        <f>K66/D66</f>
        <v>0</v>
      </c>
      <c r="M66" s="185">
        <f>L66</f>
        <v>0</v>
      </c>
      <c r="N66" s="153"/>
    </row>
    <row r="67" spans="2:26" ht="114.6" customHeight="1" x14ac:dyDescent="0.3">
      <c r="B67" s="181"/>
      <c r="C67" s="13" t="s">
        <v>27</v>
      </c>
      <c r="D67" s="183"/>
      <c r="E67" s="173"/>
      <c r="F67" s="173"/>
      <c r="G67" s="171"/>
      <c r="H67" s="178"/>
      <c r="I67" s="171"/>
      <c r="J67" s="171"/>
      <c r="K67" s="171"/>
      <c r="L67" s="176"/>
      <c r="M67" s="178"/>
      <c r="N67" s="186"/>
    </row>
    <row r="68" spans="2:26" x14ac:dyDescent="0.3">
      <c r="B68" s="180">
        <v>27</v>
      </c>
      <c r="C68" s="12" t="s">
        <v>46</v>
      </c>
      <c r="D68" s="187">
        <v>4000000</v>
      </c>
      <c r="E68" s="188"/>
      <c r="F68" s="188"/>
      <c r="G68" s="174">
        <f>E68+F68</f>
        <v>0</v>
      </c>
      <c r="H68" s="185">
        <f>G68/D68</f>
        <v>0</v>
      </c>
      <c r="I68" s="174">
        <f>E68</f>
        <v>0</v>
      </c>
      <c r="J68" s="174">
        <f>F68</f>
        <v>0</v>
      </c>
      <c r="K68" s="174">
        <f>I68+J68</f>
        <v>0</v>
      </c>
      <c r="L68" s="184">
        <f>K68/D68</f>
        <v>0</v>
      </c>
      <c r="M68" s="185">
        <f>L68</f>
        <v>0</v>
      </c>
      <c r="N68" s="153"/>
    </row>
    <row r="69" spans="2:26" ht="69" customHeight="1" x14ac:dyDescent="0.3">
      <c r="B69" s="181"/>
      <c r="C69" s="13" t="s">
        <v>29</v>
      </c>
      <c r="D69" s="183"/>
      <c r="E69" s="173"/>
      <c r="F69" s="173"/>
      <c r="G69" s="171"/>
      <c r="H69" s="178"/>
      <c r="I69" s="171"/>
      <c r="J69" s="171"/>
      <c r="K69" s="171"/>
      <c r="L69" s="176"/>
      <c r="M69" s="178"/>
      <c r="N69" s="186"/>
    </row>
    <row r="70" spans="2:26" ht="26.25" customHeight="1" x14ac:dyDescent="0.3">
      <c r="B70" s="41"/>
      <c r="C70" s="42" t="s">
        <v>75</v>
      </c>
      <c r="D70" s="52">
        <f t="shared" ref="D70:G71" si="19">SUM(D71)</f>
        <v>7000000</v>
      </c>
      <c r="E70" s="52">
        <f t="shared" si="19"/>
        <v>0</v>
      </c>
      <c r="F70" s="52">
        <f t="shared" si="19"/>
        <v>0</v>
      </c>
      <c r="G70" s="52">
        <f t="shared" si="19"/>
        <v>0</v>
      </c>
      <c r="H70" s="23">
        <f>G70/D70</f>
        <v>0</v>
      </c>
      <c r="I70" s="52">
        <f t="shared" ref="I70:K71" si="20">SUM(I71)</f>
        <v>0</v>
      </c>
      <c r="J70" s="52">
        <f t="shared" si="20"/>
        <v>0</v>
      </c>
      <c r="K70" s="52">
        <f t="shared" si="20"/>
        <v>0</v>
      </c>
      <c r="L70" s="44">
        <f>K70/D70</f>
        <v>0</v>
      </c>
      <c r="M70" s="68">
        <f>SUM(L70)</f>
        <v>0</v>
      </c>
      <c r="N70" s="43"/>
    </row>
    <row r="71" spans="2:26" ht="38.25" customHeight="1" x14ac:dyDescent="0.3">
      <c r="B71" s="25"/>
      <c r="C71" s="39" t="s">
        <v>67</v>
      </c>
      <c r="D71" s="60">
        <f t="shared" si="19"/>
        <v>7000000</v>
      </c>
      <c r="E71" s="60">
        <f t="shared" si="19"/>
        <v>0</v>
      </c>
      <c r="F71" s="60">
        <f t="shared" si="19"/>
        <v>0</v>
      </c>
      <c r="G71" s="60">
        <f t="shared" si="19"/>
        <v>0</v>
      </c>
      <c r="H71" s="29">
        <f>G71/D71</f>
        <v>0</v>
      </c>
      <c r="I71" s="60">
        <f t="shared" si="20"/>
        <v>0</v>
      </c>
      <c r="J71" s="60">
        <f t="shared" si="20"/>
        <v>0</v>
      </c>
      <c r="K71" s="60">
        <f t="shared" si="20"/>
        <v>0</v>
      </c>
      <c r="L71" s="47">
        <f>K71/D71</f>
        <v>0</v>
      </c>
      <c r="M71" s="29">
        <f>SUM(L71)</f>
        <v>0</v>
      </c>
      <c r="N71" s="40"/>
    </row>
    <row r="72" spans="2:26" x14ac:dyDescent="0.3">
      <c r="B72" s="180">
        <v>28</v>
      </c>
      <c r="C72" s="17" t="s">
        <v>47</v>
      </c>
      <c r="D72" s="182">
        <v>7000000</v>
      </c>
      <c r="E72" s="172"/>
      <c r="F72" s="172"/>
      <c r="G72" s="174">
        <f>E72+F72</f>
        <v>0</v>
      </c>
      <c r="H72" s="177">
        <f>G72/D72</f>
        <v>0</v>
      </c>
      <c r="I72" s="170">
        <f>E72</f>
        <v>0</v>
      </c>
      <c r="J72" s="172">
        <f>F72</f>
        <v>0</v>
      </c>
      <c r="K72" s="174">
        <f>I72+J72</f>
        <v>0</v>
      </c>
      <c r="L72" s="175">
        <f>K72/D72</f>
        <v>0</v>
      </c>
      <c r="M72" s="177">
        <f>L72</f>
        <v>0</v>
      </c>
      <c r="N72" s="179"/>
      <c r="O72" s="168"/>
      <c r="P72" s="167"/>
      <c r="Q72" s="167"/>
      <c r="R72" s="167"/>
      <c r="S72" s="167"/>
      <c r="T72" s="167"/>
      <c r="U72" s="167"/>
      <c r="V72" s="167"/>
      <c r="W72" s="167"/>
      <c r="X72" s="167"/>
      <c r="Y72" s="167"/>
      <c r="Z72" s="167"/>
    </row>
    <row r="73" spans="2:26" ht="31.5" customHeight="1" x14ac:dyDescent="0.3">
      <c r="B73" s="181"/>
      <c r="C73" s="13" t="s">
        <v>28</v>
      </c>
      <c r="D73" s="183"/>
      <c r="E73" s="172"/>
      <c r="F73" s="173"/>
      <c r="G73" s="170"/>
      <c r="H73" s="178"/>
      <c r="I73" s="171"/>
      <c r="J73" s="173"/>
      <c r="K73" s="170"/>
      <c r="L73" s="176"/>
      <c r="M73" s="178"/>
      <c r="N73" s="179"/>
      <c r="O73" s="169"/>
      <c r="P73" s="167"/>
      <c r="Q73" s="167"/>
      <c r="R73" s="167"/>
      <c r="S73" s="167"/>
      <c r="T73" s="167"/>
      <c r="U73" s="167"/>
      <c r="V73" s="167"/>
      <c r="W73" s="167"/>
      <c r="X73" s="167"/>
      <c r="Y73" s="167"/>
      <c r="Z73" s="167"/>
    </row>
    <row r="74" spans="2:26" x14ac:dyDescent="0.3">
      <c r="B74" s="161"/>
      <c r="C74" s="163" t="s">
        <v>58</v>
      </c>
      <c r="D74" s="159">
        <f>D9+D48+D54+D60+D64+D70</f>
        <v>2801486092</v>
      </c>
      <c r="E74" s="165">
        <f>E9+E48+E54+E60+E64+E70</f>
        <v>623219654</v>
      </c>
      <c r="F74" s="165">
        <f>F9+F48+F54+F60+F64+F70</f>
        <v>176900804</v>
      </c>
      <c r="G74" s="159">
        <f>G9+G48+G54+G60+G64+G70</f>
        <v>800120458</v>
      </c>
      <c r="H74" s="157">
        <f>G74/D74</f>
        <v>0.28560572200763223</v>
      </c>
      <c r="I74" s="159">
        <f>I9+I48+I54+I60+I64+I70</f>
        <v>623219654</v>
      </c>
      <c r="J74" s="159">
        <f>J9+J48+J54+J60+J64+J70</f>
        <v>176900804</v>
      </c>
      <c r="K74" s="159" t="e">
        <f>K9+K48+K54+K60+K64+K70</f>
        <v>#VALUE!</v>
      </c>
      <c r="L74" s="157" t="e">
        <f>K74/D74</f>
        <v>#VALUE!</v>
      </c>
      <c r="M74" s="157" t="e">
        <f>K74/D74</f>
        <v>#VALUE!</v>
      </c>
      <c r="N74" s="153"/>
    </row>
    <row r="75" spans="2:26" ht="15" thickBot="1" x14ac:dyDescent="0.35">
      <c r="B75" s="162"/>
      <c r="C75" s="164"/>
      <c r="D75" s="160"/>
      <c r="E75" s="166"/>
      <c r="F75" s="166"/>
      <c r="G75" s="160"/>
      <c r="H75" s="158"/>
      <c r="I75" s="160"/>
      <c r="J75" s="160"/>
      <c r="K75" s="160"/>
      <c r="L75" s="158"/>
      <c r="M75" s="158"/>
      <c r="N75" s="154"/>
    </row>
    <row r="76" spans="2:26" x14ac:dyDescent="0.3">
      <c r="B76" s="98"/>
      <c r="D76" s="2"/>
      <c r="E76" s="69"/>
      <c r="F76" s="7"/>
      <c r="G76" s="61"/>
      <c r="L76" s="98"/>
    </row>
    <row r="77" spans="2:26" x14ac:dyDescent="0.3">
      <c r="D77" s="4"/>
      <c r="E77" s="62"/>
      <c r="F77" s="63"/>
      <c r="G77" s="45"/>
      <c r="J77" s="155" t="s">
        <v>123</v>
      </c>
      <c r="K77" s="155"/>
      <c r="L77" s="155"/>
      <c r="M77" s="155"/>
      <c r="N77" s="97"/>
    </row>
    <row r="78" spans="2:26" x14ac:dyDescent="0.3">
      <c r="D78" s="4"/>
      <c r="E78" s="62"/>
      <c r="G78" s="61"/>
      <c r="J78" s="155" t="s">
        <v>56</v>
      </c>
      <c r="K78" s="155"/>
      <c r="L78" s="155"/>
      <c r="M78" s="155"/>
      <c r="N78" s="97"/>
    </row>
    <row r="79" spans="2:26" x14ac:dyDescent="0.3">
      <c r="D79" s="4"/>
      <c r="E79" s="62"/>
      <c r="K79" s="97"/>
      <c r="L79" s="97"/>
      <c r="M79" s="97"/>
      <c r="N79" s="97"/>
    </row>
    <row r="80" spans="2:26" x14ac:dyDescent="0.3">
      <c r="D80" s="4"/>
      <c r="E80" s="70"/>
      <c r="F80" s="62"/>
      <c r="G80" s="45"/>
      <c r="K80" s="97"/>
      <c r="L80" s="97"/>
      <c r="M80" s="97"/>
      <c r="N80" s="97"/>
    </row>
    <row r="81" spans="2:14" x14ac:dyDescent="0.3">
      <c r="D81" s="78"/>
      <c r="K81" s="97"/>
      <c r="L81" s="97"/>
      <c r="M81" s="97"/>
      <c r="N81" s="97"/>
    </row>
    <row r="82" spans="2:14" x14ac:dyDescent="0.3">
      <c r="D82" s="4"/>
      <c r="E82" s="63"/>
      <c r="J82" s="156" t="s">
        <v>59</v>
      </c>
      <c r="K82" s="156"/>
      <c r="L82" s="156"/>
      <c r="M82" s="156"/>
      <c r="N82" s="97"/>
    </row>
    <row r="83" spans="2:14" ht="13.8" customHeight="1" x14ac:dyDescent="0.3">
      <c r="D83" s="78"/>
      <c r="J83" s="155" t="s">
        <v>79</v>
      </c>
      <c r="K83" s="155"/>
      <c r="L83" s="155"/>
      <c r="M83" s="155"/>
      <c r="N83" s="97"/>
    </row>
    <row r="84" spans="2:14" x14ac:dyDescent="0.3">
      <c r="D84" s="4"/>
      <c r="J84" s="155" t="s">
        <v>60</v>
      </c>
      <c r="K84" s="155"/>
      <c r="L84" s="155"/>
      <c r="M84" s="155"/>
      <c r="N84" s="5"/>
    </row>
    <row r="85" spans="2:14" x14ac:dyDescent="0.3">
      <c r="B85" s="98"/>
      <c r="D85" s="2"/>
      <c r="E85" s="71"/>
      <c r="L85" s="98"/>
    </row>
    <row r="86" spans="2:14" x14ac:dyDescent="0.3">
      <c r="B86" s="98"/>
      <c r="D86" s="2"/>
      <c r="E86" s="71"/>
      <c r="L86" s="98"/>
    </row>
    <row r="89" spans="2:14" x14ac:dyDescent="0.3">
      <c r="D89" s="77"/>
    </row>
    <row r="90" spans="2:14" x14ac:dyDescent="0.3">
      <c r="D90" s="77"/>
    </row>
    <row r="91" spans="2:14" x14ac:dyDescent="0.3">
      <c r="D91" s="77"/>
    </row>
    <row r="92" spans="2:14" x14ac:dyDescent="0.3">
      <c r="D92" s="77"/>
    </row>
    <row r="93" spans="2:14" x14ac:dyDescent="0.3">
      <c r="D93" s="77"/>
      <c r="F93" s="63"/>
    </row>
    <row r="94" spans="2:14" x14ac:dyDescent="0.3">
      <c r="D94" s="77"/>
    </row>
    <row r="95" spans="2:14" x14ac:dyDescent="0.3">
      <c r="D95" s="77"/>
    </row>
  </sheetData>
  <mergeCells count="337">
    <mergeCell ref="B1:N1"/>
    <mergeCell ref="B2:N2"/>
    <mergeCell ref="B3:C3"/>
    <mergeCell ref="B4:C4"/>
    <mergeCell ref="B5:C5"/>
    <mergeCell ref="B6:B8"/>
    <mergeCell ref="C6:C8"/>
    <mergeCell ref="E6:H6"/>
    <mergeCell ref="I6:L6"/>
    <mergeCell ref="M6:M8"/>
    <mergeCell ref="N6:N8"/>
    <mergeCell ref="E7:E8"/>
    <mergeCell ref="F7:F8"/>
    <mergeCell ref="G7:G8"/>
    <mergeCell ref="H7:H8"/>
    <mergeCell ref="I7:I8"/>
    <mergeCell ref="J7:J8"/>
    <mergeCell ref="K7:K8"/>
    <mergeCell ref="L7:L8"/>
    <mergeCell ref="I11:I12"/>
    <mergeCell ref="J11:J12"/>
    <mergeCell ref="K11:K12"/>
    <mergeCell ref="L11:L12"/>
    <mergeCell ref="M11:M12"/>
    <mergeCell ref="N11:N12"/>
    <mergeCell ref="B11:B12"/>
    <mergeCell ref="D11:D12"/>
    <mergeCell ref="E11:E12"/>
    <mergeCell ref="F11:F12"/>
    <mergeCell ref="G11:G12"/>
    <mergeCell ref="H11:H12"/>
    <mergeCell ref="I13:I14"/>
    <mergeCell ref="J13:J14"/>
    <mergeCell ref="K13:K14"/>
    <mergeCell ref="L13:L14"/>
    <mergeCell ref="M13:M14"/>
    <mergeCell ref="N13:N14"/>
    <mergeCell ref="B13:B14"/>
    <mergeCell ref="D13:D14"/>
    <mergeCell ref="E13:E14"/>
    <mergeCell ref="F13:F14"/>
    <mergeCell ref="G13:G14"/>
    <mergeCell ref="H13:H14"/>
    <mergeCell ref="I16:I17"/>
    <mergeCell ref="J16:J17"/>
    <mergeCell ref="K16:K17"/>
    <mergeCell ref="L16:L17"/>
    <mergeCell ref="M16:M17"/>
    <mergeCell ref="N16:N17"/>
    <mergeCell ref="B16:B17"/>
    <mergeCell ref="D16:D17"/>
    <mergeCell ref="E16:E17"/>
    <mergeCell ref="F16:F17"/>
    <mergeCell ref="G16:G17"/>
    <mergeCell ref="H16:H17"/>
    <mergeCell ref="I19:I20"/>
    <mergeCell ref="J19:J20"/>
    <mergeCell ref="K19:K20"/>
    <mergeCell ref="L19:L20"/>
    <mergeCell ref="M19:M20"/>
    <mergeCell ref="N19:N20"/>
    <mergeCell ref="B19:B20"/>
    <mergeCell ref="D19:D20"/>
    <mergeCell ref="E19:E20"/>
    <mergeCell ref="F19:F20"/>
    <mergeCell ref="G19:G20"/>
    <mergeCell ref="H19:H20"/>
    <mergeCell ref="I22:I23"/>
    <mergeCell ref="J22:J23"/>
    <mergeCell ref="K22:K23"/>
    <mergeCell ref="L22:L23"/>
    <mergeCell ref="M22:M23"/>
    <mergeCell ref="N22:N23"/>
    <mergeCell ref="B22:B23"/>
    <mergeCell ref="D22:D23"/>
    <mergeCell ref="E22:E23"/>
    <mergeCell ref="F22:F23"/>
    <mergeCell ref="G22:G23"/>
    <mergeCell ref="H22:H23"/>
    <mergeCell ref="I24:I25"/>
    <mergeCell ref="J24:J25"/>
    <mergeCell ref="K24:K25"/>
    <mergeCell ref="L24:L25"/>
    <mergeCell ref="M24:M25"/>
    <mergeCell ref="N24:N25"/>
    <mergeCell ref="B24:B25"/>
    <mergeCell ref="D24:D25"/>
    <mergeCell ref="E24:E25"/>
    <mergeCell ref="F24:F25"/>
    <mergeCell ref="G24:G25"/>
    <mergeCell ref="H24:H25"/>
    <mergeCell ref="I26:I27"/>
    <mergeCell ref="J26:J27"/>
    <mergeCell ref="K26:K27"/>
    <mergeCell ref="L26:L27"/>
    <mergeCell ref="M26:M27"/>
    <mergeCell ref="N26:N27"/>
    <mergeCell ref="B26:B27"/>
    <mergeCell ref="D26:D27"/>
    <mergeCell ref="E26:E27"/>
    <mergeCell ref="F26:F27"/>
    <mergeCell ref="G26:G27"/>
    <mergeCell ref="H26:H27"/>
    <mergeCell ref="I28:I29"/>
    <mergeCell ref="J28:J29"/>
    <mergeCell ref="K28:K29"/>
    <mergeCell ref="L28:L29"/>
    <mergeCell ref="M28:M29"/>
    <mergeCell ref="N28:N29"/>
    <mergeCell ref="B28:B29"/>
    <mergeCell ref="D28:D29"/>
    <mergeCell ref="E28:E29"/>
    <mergeCell ref="F28:F29"/>
    <mergeCell ref="G28:G29"/>
    <mergeCell ref="H28:H29"/>
    <mergeCell ref="I30:I31"/>
    <mergeCell ref="J30:J31"/>
    <mergeCell ref="K30:K31"/>
    <mergeCell ref="L30:L31"/>
    <mergeCell ref="M30:M31"/>
    <mergeCell ref="N30:N31"/>
    <mergeCell ref="B30:B31"/>
    <mergeCell ref="D30:D31"/>
    <mergeCell ref="E30:E31"/>
    <mergeCell ref="F30:F31"/>
    <mergeCell ref="G30:G31"/>
    <mergeCell ref="H30:H31"/>
    <mergeCell ref="I32:I33"/>
    <mergeCell ref="J32:J33"/>
    <mergeCell ref="K32:K33"/>
    <mergeCell ref="L32:L33"/>
    <mergeCell ref="M32:M33"/>
    <mergeCell ref="N32:N33"/>
    <mergeCell ref="B32:B33"/>
    <mergeCell ref="D32:D33"/>
    <mergeCell ref="E32:E33"/>
    <mergeCell ref="F32:F33"/>
    <mergeCell ref="G32:G33"/>
    <mergeCell ref="H32:H33"/>
    <mergeCell ref="I34:I35"/>
    <mergeCell ref="J34:J35"/>
    <mergeCell ref="K34:K35"/>
    <mergeCell ref="L34:L35"/>
    <mergeCell ref="M34:M35"/>
    <mergeCell ref="N34:N35"/>
    <mergeCell ref="B34:B35"/>
    <mergeCell ref="D34:D35"/>
    <mergeCell ref="E34:E35"/>
    <mergeCell ref="F34:F35"/>
    <mergeCell ref="G34:G35"/>
    <mergeCell ref="H34:H35"/>
    <mergeCell ref="I37:I38"/>
    <mergeCell ref="J37:J38"/>
    <mergeCell ref="K37:K38"/>
    <mergeCell ref="L37:L38"/>
    <mergeCell ref="M37:M38"/>
    <mergeCell ref="N37:N38"/>
    <mergeCell ref="B37:B38"/>
    <mergeCell ref="D37:D38"/>
    <mergeCell ref="E37:E38"/>
    <mergeCell ref="F37:F38"/>
    <mergeCell ref="G37:G38"/>
    <mergeCell ref="H37:H38"/>
    <mergeCell ref="I39:I40"/>
    <mergeCell ref="J39:J40"/>
    <mergeCell ref="K39:K40"/>
    <mergeCell ref="L39:L40"/>
    <mergeCell ref="M39:M40"/>
    <mergeCell ref="N39:N40"/>
    <mergeCell ref="B39:B40"/>
    <mergeCell ref="D39:D40"/>
    <mergeCell ref="E39:E40"/>
    <mergeCell ref="F39:F40"/>
    <mergeCell ref="G39:G40"/>
    <mergeCell ref="H39:H40"/>
    <mergeCell ref="I42:I43"/>
    <mergeCell ref="J42:J43"/>
    <mergeCell ref="K42:K43"/>
    <mergeCell ref="L42:L43"/>
    <mergeCell ref="M42:M43"/>
    <mergeCell ref="N42:N43"/>
    <mergeCell ref="B42:B43"/>
    <mergeCell ref="D42:D43"/>
    <mergeCell ref="E42:E43"/>
    <mergeCell ref="F42:F43"/>
    <mergeCell ref="G42:G43"/>
    <mergeCell ref="H42:H43"/>
    <mergeCell ref="I44:I45"/>
    <mergeCell ref="J44:J45"/>
    <mergeCell ref="K44:K45"/>
    <mergeCell ref="L44:L45"/>
    <mergeCell ref="M44:M45"/>
    <mergeCell ref="N44:N45"/>
    <mergeCell ref="B44:B45"/>
    <mergeCell ref="D44:D45"/>
    <mergeCell ref="E44:E45"/>
    <mergeCell ref="F44:F45"/>
    <mergeCell ref="G44:G45"/>
    <mergeCell ref="H44:H45"/>
    <mergeCell ref="I46:I47"/>
    <mergeCell ref="J46:J47"/>
    <mergeCell ref="K46:K47"/>
    <mergeCell ref="L46:L47"/>
    <mergeCell ref="M46:M47"/>
    <mergeCell ref="N46:N47"/>
    <mergeCell ref="B46:B47"/>
    <mergeCell ref="D46:D47"/>
    <mergeCell ref="E46:E47"/>
    <mergeCell ref="F46:F47"/>
    <mergeCell ref="G46:G47"/>
    <mergeCell ref="H46:H47"/>
    <mergeCell ref="I50:I51"/>
    <mergeCell ref="J50:J51"/>
    <mergeCell ref="K50:K51"/>
    <mergeCell ref="L50:L51"/>
    <mergeCell ref="M50:M51"/>
    <mergeCell ref="N50:N51"/>
    <mergeCell ref="B50:B51"/>
    <mergeCell ref="D50:D51"/>
    <mergeCell ref="E50:E51"/>
    <mergeCell ref="F50:F51"/>
    <mergeCell ref="G50:G51"/>
    <mergeCell ref="H50:H51"/>
    <mergeCell ref="I52:I53"/>
    <mergeCell ref="J52:J53"/>
    <mergeCell ref="K52:K53"/>
    <mergeCell ref="L52:L53"/>
    <mergeCell ref="M52:M53"/>
    <mergeCell ref="N52:N53"/>
    <mergeCell ref="B52:B53"/>
    <mergeCell ref="D52:D53"/>
    <mergeCell ref="E52:E53"/>
    <mergeCell ref="F52:F53"/>
    <mergeCell ref="G52:G53"/>
    <mergeCell ref="H52:H53"/>
    <mergeCell ref="I56:I57"/>
    <mergeCell ref="J56:J57"/>
    <mergeCell ref="K56:K57"/>
    <mergeCell ref="L56:L57"/>
    <mergeCell ref="M56:M57"/>
    <mergeCell ref="N56:N57"/>
    <mergeCell ref="B56:B57"/>
    <mergeCell ref="D56:D57"/>
    <mergeCell ref="E56:E57"/>
    <mergeCell ref="F56:F57"/>
    <mergeCell ref="G56:G57"/>
    <mergeCell ref="H56:H57"/>
    <mergeCell ref="I58:I59"/>
    <mergeCell ref="J58:J59"/>
    <mergeCell ref="K58:K59"/>
    <mergeCell ref="L58:L59"/>
    <mergeCell ref="M58:M59"/>
    <mergeCell ref="N58:N59"/>
    <mergeCell ref="B58:B59"/>
    <mergeCell ref="D58:D59"/>
    <mergeCell ref="E58:E59"/>
    <mergeCell ref="F58:F59"/>
    <mergeCell ref="G58:G59"/>
    <mergeCell ref="H58:H59"/>
    <mergeCell ref="I62:I63"/>
    <mergeCell ref="J62:J63"/>
    <mergeCell ref="K62:K63"/>
    <mergeCell ref="L62:L63"/>
    <mergeCell ref="M62:M63"/>
    <mergeCell ref="N62:N63"/>
    <mergeCell ref="B62:B63"/>
    <mergeCell ref="D62:D63"/>
    <mergeCell ref="E62:E63"/>
    <mergeCell ref="F62:F63"/>
    <mergeCell ref="G62:G63"/>
    <mergeCell ref="H62:H63"/>
    <mergeCell ref="I66:I67"/>
    <mergeCell ref="J66:J67"/>
    <mergeCell ref="K66:K67"/>
    <mergeCell ref="L66:L67"/>
    <mergeCell ref="M66:M67"/>
    <mergeCell ref="N66:N67"/>
    <mergeCell ref="B66:B67"/>
    <mergeCell ref="D66:D67"/>
    <mergeCell ref="E66:E67"/>
    <mergeCell ref="F66:F67"/>
    <mergeCell ref="G66:G67"/>
    <mergeCell ref="H66:H67"/>
    <mergeCell ref="I68:I69"/>
    <mergeCell ref="J68:J69"/>
    <mergeCell ref="K68:K69"/>
    <mergeCell ref="L68:L69"/>
    <mergeCell ref="M68:M69"/>
    <mergeCell ref="N68:N69"/>
    <mergeCell ref="B68:B69"/>
    <mergeCell ref="D68:D69"/>
    <mergeCell ref="E68:E69"/>
    <mergeCell ref="F68:F69"/>
    <mergeCell ref="G68:G69"/>
    <mergeCell ref="H68:H69"/>
    <mergeCell ref="X72:X73"/>
    <mergeCell ref="Y72:Y73"/>
    <mergeCell ref="Z72:Z73"/>
    <mergeCell ref="O72:O73"/>
    <mergeCell ref="P72:P73"/>
    <mergeCell ref="Q72:Q73"/>
    <mergeCell ref="R72:R73"/>
    <mergeCell ref="S72:S73"/>
    <mergeCell ref="T72:T73"/>
    <mergeCell ref="B74:B75"/>
    <mergeCell ref="C74:C75"/>
    <mergeCell ref="D74:D75"/>
    <mergeCell ref="E74:E75"/>
    <mergeCell ref="F74:F75"/>
    <mergeCell ref="G74:G75"/>
    <mergeCell ref="U72:U73"/>
    <mergeCell ref="V72:V73"/>
    <mergeCell ref="W72:W73"/>
    <mergeCell ref="I72:I73"/>
    <mergeCell ref="J72:J73"/>
    <mergeCell ref="K72:K73"/>
    <mergeCell ref="L72:L73"/>
    <mergeCell ref="M72:M73"/>
    <mergeCell ref="N72:N73"/>
    <mergeCell ref="B72:B73"/>
    <mergeCell ref="D72:D73"/>
    <mergeCell ref="E72:E73"/>
    <mergeCell ref="F72:F73"/>
    <mergeCell ref="G72:G73"/>
    <mergeCell ref="H72:H73"/>
    <mergeCell ref="N74:N75"/>
    <mergeCell ref="J77:M77"/>
    <mergeCell ref="J78:M78"/>
    <mergeCell ref="J82:M82"/>
    <mergeCell ref="J83:M83"/>
    <mergeCell ref="J84:M84"/>
    <mergeCell ref="H74:H75"/>
    <mergeCell ref="I74:I75"/>
    <mergeCell ref="J74:J75"/>
    <mergeCell ref="K74:K75"/>
    <mergeCell ref="L74:L75"/>
    <mergeCell ref="M74:M75"/>
  </mergeCells>
  <pageMargins left="1.1023622047244095" right="0.70866141732283472" top="0.74803149606299213" bottom="0.74803149606299213" header="0.31496062992125984" footer="0.31496062992125984"/>
  <pageSetup paperSize="5" scale="70" orientation="landscape" horizontalDpi="300" verticalDpi="300" r:id="rId1"/>
  <rowBreaks count="2" manualBreakCount="2">
    <brk id="35" max="13" man="1"/>
    <brk id="59" max="13" man="1"/>
  </rowBreaks>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E24E-9177-4572-A70E-4B76E1D16F9E}">
  <dimension ref="A1:T93"/>
  <sheetViews>
    <sheetView view="pageBreakPreview" zoomScale="99" zoomScaleNormal="75" zoomScaleSheetLayoutView="99" workbookViewId="0">
      <pane xSplit="3" ySplit="2" topLeftCell="D3" activePane="bottomRight" state="frozen"/>
      <selection pane="topRight" activeCell="C1" sqref="C1"/>
      <selection pane="bottomLeft" activeCell="A3" sqref="A3"/>
      <selection pane="bottomRight" activeCell="F14" sqref="F14:F15"/>
    </sheetView>
  </sheetViews>
  <sheetFormatPr defaultRowHeight="14.4" x14ac:dyDescent="0.3"/>
  <cols>
    <col min="1" max="1" width="5.88671875" customWidth="1"/>
    <col min="2" max="2" width="4.33203125" customWidth="1"/>
    <col min="3" max="3" width="59.44140625" customWidth="1"/>
    <col min="4" max="4" width="18.88671875" customWidth="1"/>
    <col min="5" max="5" width="16.6640625" customWidth="1"/>
    <col min="6" max="6" width="18.5546875" customWidth="1"/>
    <col min="7" max="7" width="15.5546875" customWidth="1"/>
    <col min="8" max="8" width="40.33203125" customWidth="1"/>
    <col min="9" max="9" width="10.5546875" bestFit="1" customWidth="1"/>
  </cols>
  <sheetData>
    <row r="1" spans="1:13" x14ac:dyDescent="0.3">
      <c r="B1" s="212" t="s">
        <v>109</v>
      </c>
      <c r="C1" s="212"/>
      <c r="D1" s="212"/>
      <c r="E1" s="212"/>
      <c r="F1" s="212"/>
      <c r="G1" s="212"/>
      <c r="H1" s="212"/>
    </row>
    <row r="2" spans="1:13" x14ac:dyDescent="0.3">
      <c r="B2" s="212" t="s">
        <v>57</v>
      </c>
      <c r="C2" s="212"/>
      <c r="D2" s="212"/>
      <c r="E2" s="212"/>
      <c r="F2" s="212"/>
      <c r="G2" s="212"/>
      <c r="H2" s="212"/>
    </row>
    <row r="3" spans="1:13" ht="10.8" customHeight="1" x14ac:dyDescent="0.3">
      <c r="B3" s="213"/>
      <c r="C3" s="213"/>
      <c r="D3" s="96"/>
      <c r="E3" s="1"/>
      <c r="F3" s="3"/>
      <c r="G3" s="95"/>
      <c r="H3" s="95"/>
    </row>
    <row r="4" spans="1:13" ht="10.8" customHeight="1" x14ac:dyDescent="0.3">
      <c r="B4" s="180" t="s">
        <v>6</v>
      </c>
      <c r="C4" s="214" t="s">
        <v>7</v>
      </c>
      <c r="D4" s="214" t="s">
        <v>108</v>
      </c>
      <c r="E4" s="238" t="s">
        <v>111</v>
      </c>
      <c r="F4" s="241" t="s">
        <v>110</v>
      </c>
      <c r="G4" s="244" t="s">
        <v>102</v>
      </c>
      <c r="H4" s="214" t="s">
        <v>103</v>
      </c>
    </row>
    <row r="5" spans="1:13" ht="10.8" customHeight="1" x14ac:dyDescent="0.3">
      <c r="B5" s="192"/>
      <c r="C5" s="215"/>
      <c r="D5" s="215"/>
      <c r="E5" s="239"/>
      <c r="F5" s="242"/>
      <c r="G5" s="245"/>
      <c r="H5" s="215"/>
    </row>
    <row r="6" spans="1:13" ht="10.8" customHeight="1" x14ac:dyDescent="0.3">
      <c r="B6" s="181"/>
      <c r="C6" s="216"/>
      <c r="D6" s="216"/>
      <c r="E6" s="240"/>
      <c r="F6" s="243"/>
      <c r="G6" s="246"/>
      <c r="H6" s="216"/>
    </row>
    <row r="7" spans="1:13" s="73" customFormat="1" x14ac:dyDescent="0.3">
      <c r="A7"/>
      <c r="B7" s="41"/>
      <c r="C7" s="49" t="s">
        <v>68</v>
      </c>
      <c r="D7" s="108">
        <f>D8+D13+D16+D19+D34+D39</f>
        <v>2705364292</v>
      </c>
      <c r="E7" s="99" t="s">
        <v>112</v>
      </c>
      <c r="F7" s="108">
        <f>F8+F13+F16+F19+F34+F39</f>
        <v>610619654</v>
      </c>
      <c r="G7" s="50">
        <v>0.22570699842740438</v>
      </c>
      <c r="H7" s="41"/>
      <c r="I7"/>
      <c r="J7"/>
      <c r="K7"/>
      <c r="L7"/>
      <c r="M7"/>
    </row>
    <row r="8" spans="1:13" x14ac:dyDescent="0.3">
      <c r="B8" s="25"/>
      <c r="C8" s="26" t="s">
        <v>61</v>
      </c>
      <c r="D8" s="105">
        <f>SUM(D9:D12)</f>
        <v>10883200</v>
      </c>
      <c r="E8" s="100" t="s">
        <v>106</v>
      </c>
      <c r="F8" s="105">
        <f>SUM(F9:F12)</f>
        <v>0</v>
      </c>
      <c r="G8" s="29">
        <v>0</v>
      </c>
      <c r="H8" s="28"/>
    </row>
    <row r="9" spans="1:13" x14ac:dyDescent="0.3">
      <c r="B9" s="180">
        <v>1</v>
      </c>
      <c r="C9" s="12" t="s">
        <v>30</v>
      </c>
      <c r="D9" s="195">
        <v>8455200</v>
      </c>
      <c r="E9" s="237" t="s">
        <v>107</v>
      </c>
      <c r="F9" s="174"/>
      <c r="G9" s="177">
        <v>0</v>
      </c>
      <c r="H9" s="153" t="s">
        <v>114</v>
      </c>
    </row>
    <row r="10" spans="1:13" x14ac:dyDescent="0.3">
      <c r="B10" s="181"/>
      <c r="C10" s="13" t="s">
        <v>18</v>
      </c>
      <c r="D10" s="194"/>
      <c r="E10" s="194"/>
      <c r="F10" s="171"/>
      <c r="G10" s="178"/>
      <c r="H10" s="179"/>
    </row>
    <row r="11" spans="1:13" x14ac:dyDescent="0.3">
      <c r="B11" s="180">
        <v>2</v>
      </c>
      <c r="C11" s="12" t="s">
        <v>93</v>
      </c>
      <c r="D11" s="187">
        <v>2428000</v>
      </c>
      <c r="E11" s="237" t="s">
        <v>107</v>
      </c>
      <c r="F11" s="174"/>
      <c r="G11" s="177">
        <v>0</v>
      </c>
      <c r="H11" s="153" t="s">
        <v>114</v>
      </c>
    </row>
    <row r="12" spans="1:13" x14ac:dyDescent="0.3">
      <c r="B12" s="181"/>
      <c r="C12" s="86" t="s">
        <v>94</v>
      </c>
      <c r="D12" s="205"/>
      <c r="E12" s="194"/>
      <c r="F12" s="171"/>
      <c r="G12" s="178"/>
      <c r="H12" s="179"/>
    </row>
    <row r="13" spans="1:13" x14ac:dyDescent="0.3">
      <c r="B13" s="25"/>
      <c r="C13" s="26" t="s">
        <v>62</v>
      </c>
      <c r="D13" s="105">
        <f>D14</f>
        <v>2061154392</v>
      </c>
      <c r="E13" s="100" t="s">
        <v>112</v>
      </c>
      <c r="F13" s="105">
        <f>F14</f>
        <v>499075532</v>
      </c>
      <c r="G13" s="66">
        <f>G14</f>
        <v>0.24213398760280738</v>
      </c>
      <c r="H13" s="31"/>
    </row>
    <row r="14" spans="1:13" x14ac:dyDescent="0.3">
      <c r="B14" s="180">
        <v>3</v>
      </c>
      <c r="C14" s="12" t="s">
        <v>33</v>
      </c>
      <c r="D14" s="187">
        <v>2061154392</v>
      </c>
      <c r="E14" s="237" t="s">
        <v>112</v>
      </c>
      <c r="F14" s="174">
        <v>499075532</v>
      </c>
      <c r="G14" s="177">
        <v>0.24213398760280738</v>
      </c>
      <c r="H14" s="153" t="s">
        <v>115</v>
      </c>
    </row>
    <row r="15" spans="1:13" x14ac:dyDescent="0.3">
      <c r="B15" s="192"/>
      <c r="C15" s="14" t="s">
        <v>19</v>
      </c>
      <c r="D15" s="182"/>
      <c r="E15" s="194"/>
      <c r="F15" s="170"/>
      <c r="G15" s="177"/>
      <c r="H15" s="179"/>
    </row>
    <row r="16" spans="1:13" x14ac:dyDescent="0.3">
      <c r="B16" s="32"/>
      <c r="C16" s="33" t="s">
        <v>69</v>
      </c>
      <c r="D16" s="106">
        <f>D17</f>
        <v>50000000</v>
      </c>
      <c r="E16" s="100" t="s">
        <v>106</v>
      </c>
      <c r="F16" s="106">
        <f>F17</f>
        <v>0</v>
      </c>
      <c r="G16" s="48">
        <v>0</v>
      </c>
      <c r="H16" s="34"/>
    </row>
    <row r="17" spans="2:8" x14ac:dyDescent="0.3">
      <c r="B17" s="192">
        <v>4</v>
      </c>
      <c r="C17" s="15" t="s">
        <v>49</v>
      </c>
      <c r="D17" s="182">
        <v>50000000</v>
      </c>
      <c r="E17" s="237" t="s">
        <v>106</v>
      </c>
      <c r="F17" s="170"/>
      <c r="G17" s="202">
        <v>0</v>
      </c>
      <c r="H17" s="153" t="s">
        <v>114</v>
      </c>
    </row>
    <row r="18" spans="2:8" x14ac:dyDescent="0.3">
      <c r="B18" s="181"/>
      <c r="C18" s="16" t="s">
        <v>48</v>
      </c>
      <c r="D18" s="182"/>
      <c r="E18" s="194"/>
      <c r="F18" s="170"/>
      <c r="G18" s="202"/>
      <c r="H18" s="179"/>
    </row>
    <row r="19" spans="2:8" x14ac:dyDescent="0.3">
      <c r="B19" s="25"/>
      <c r="C19" s="35" t="s">
        <v>63</v>
      </c>
      <c r="D19" s="107">
        <f>SUM(D20:D33)</f>
        <v>79272400</v>
      </c>
      <c r="E19" s="100" t="s">
        <v>112</v>
      </c>
      <c r="F19" s="107">
        <f>SUM(F20:F33)</f>
        <v>33145400</v>
      </c>
      <c r="G19" s="30">
        <v>0.41812030416639334</v>
      </c>
      <c r="H19" s="36"/>
    </row>
    <row r="20" spans="2:8" x14ac:dyDescent="0.3">
      <c r="B20" s="180">
        <v>5</v>
      </c>
      <c r="C20" s="17" t="s">
        <v>34</v>
      </c>
      <c r="D20" s="182">
        <v>6234000</v>
      </c>
      <c r="E20" s="237" t="s">
        <v>112</v>
      </c>
      <c r="F20" s="174">
        <v>0</v>
      </c>
      <c r="G20" s="199">
        <v>0</v>
      </c>
      <c r="H20" s="153" t="s">
        <v>116</v>
      </c>
    </row>
    <row r="21" spans="2:8" x14ac:dyDescent="0.3">
      <c r="B21" s="192"/>
      <c r="C21" s="16" t="s">
        <v>2</v>
      </c>
      <c r="D21" s="182"/>
      <c r="E21" s="194"/>
      <c r="F21" s="171"/>
      <c r="G21" s="200"/>
      <c r="H21" s="179"/>
    </row>
    <row r="22" spans="2:8" x14ac:dyDescent="0.3">
      <c r="B22" s="180">
        <v>6</v>
      </c>
      <c r="C22" s="74" t="s">
        <v>35</v>
      </c>
      <c r="D22" s="187">
        <v>9195100</v>
      </c>
      <c r="E22" s="237" t="s">
        <v>112</v>
      </c>
      <c r="F22" s="174">
        <v>0</v>
      </c>
      <c r="G22" s="199">
        <v>0</v>
      </c>
      <c r="H22" s="153" t="s">
        <v>116</v>
      </c>
    </row>
    <row r="23" spans="2:8" x14ac:dyDescent="0.3">
      <c r="B23" s="181"/>
      <c r="C23" s="13" t="s">
        <v>77</v>
      </c>
      <c r="D23" s="183"/>
      <c r="E23" s="194"/>
      <c r="F23" s="171"/>
      <c r="G23" s="200"/>
      <c r="H23" s="179"/>
    </row>
    <row r="24" spans="2:8" x14ac:dyDescent="0.3">
      <c r="B24" s="180">
        <v>7</v>
      </c>
      <c r="C24" s="17" t="s">
        <v>50</v>
      </c>
      <c r="D24" s="182">
        <v>6748500</v>
      </c>
      <c r="E24" s="237" t="s">
        <v>112</v>
      </c>
      <c r="F24" s="170">
        <v>0</v>
      </c>
      <c r="G24" s="177">
        <v>0</v>
      </c>
      <c r="H24" s="153" t="s">
        <v>116</v>
      </c>
    </row>
    <row r="25" spans="2:8" x14ac:dyDescent="0.3">
      <c r="B25" s="192"/>
      <c r="C25" s="16" t="s">
        <v>51</v>
      </c>
      <c r="D25" s="183"/>
      <c r="E25" s="194"/>
      <c r="F25" s="171"/>
      <c r="G25" s="178"/>
      <c r="H25" s="179"/>
    </row>
    <row r="26" spans="2:8" x14ac:dyDescent="0.3">
      <c r="B26" s="180">
        <v>8</v>
      </c>
      <c r="C26" s="12" t="s">
        <v>36</v>
      </c>
      <c r="D26" s="187">
        <v>4114800</v>
      </c>
      <c r="E26" s="237" t="s">
        <v>112</v>
      </c>
      <c r="F26" s="174">
        <v>0</v>
      </c>
      <c r="G26" s="177">
        <v>0</v>
      </c>
      <c r="H26" s="153" t="s">
        <v>116</v>
      </c>
    </row>
    <row r="27" spans="2:8" x14ac:dyDescent="0.3">
      <c r="B27" s="181"/>
      <c r="C27" s="16" t="s">
        <v>1</v>
      </c>
      <c r="D27" s="183"/>
      <c r="E27" s="194"/>
      <c r="F27" s="171"/>
      <c r="G27" s="178"/>
      <c r="H27" s="179"/>
    </row>
    <row r="28" spans="2:8" x14ac:dyDescent="0.3">
      <c r="B28" s="180">
        <v>9</v>
      </c>
      <c r="C28" s="12" t="s">
        <v>37</v>
      </c>
      <c r="D28" s="187">
        <v>1380000</v>
      </c>
      <c r="E28" s="237" t="s">
        <v>112</v>
      </c>
      <c r="F28" s="174">
        <v>115000</v>
      </c>
      <c r="G28" s="185">
        <v>8.3333333333333329E-2</v>
      </c>
      <c r="H28" s="153" t="s">
        <v>116</v>
      </c>
    </row>
    <row r="29" spans="2:8" x14ac:dyDescent="0.3">
      <c r="B29" s="181"/>
      <c r="C29" s="13" t="s">
        <v>3</v>
      </c>
      <c r="D29" s="183"/>
      <c r="E29" s="194"/>
      <c r="F29" s="171"/>
      <c r="G29" s="178"/>
      <c r="H29" s="179"/>
    </row>
    <row r="30" spans="2:8" x14ac:dyDescent="0.3">
      <c r="B30" s="180">
        <v>10</v>
      </c>
      <c r="C30" s="12" t="s">
        <v>38</v>
      </c>
      <c r="D30" s="187">
        <v>11550000</v>
      </c>
      <c r="E30" s="237" t="s">
        <v>112</v>
      </c>
      <c r="F30" s="174">
        <v>0</v>
      </c>
      <c r="G30" s="185">
        <v>0</v>
      </c>
      <c r="H30" s="153" t="s">
        <v>116</v>
      </c>
    </row>
    <row r="31" spans="2:8" x14ac:dyDescent="0.3">
      <c r="B31" s="181"/>
      <c r="C31" s="13" t="s">
        <v>20</v>
      </c>
      <c r="D31" s="183"/>
      <c r="E31" s="194"/>
      <c r="F31" s="171"/>
      <c r="G31" s="178"/>
      <c r="H31" s="179"/>
    </row>
    <row r="32" spans="2:8" x14ac:dyDescent="0.3">
      <c r="B32" s="180">
        <v>11</v>
      </c>
      <c r="C32" s="64" t="s">
        <v>52</v>
      </c>
      <c r="D32" s="187">
        <v>40050000</v>
      </c>
      <c r="E32" s="237" t="s">
        <v>112</v>
      </c>
      <c r="F32" s="174">
        <v>33030400</v>
      </c>
      <c r="G32" s="185">
        <v>0.82472908863920102</v>
      </c>
      <c r="H32" s="153" t="s">
        <v>116</v>
      </c>
    </row>
    <row r="33" spans="2:8" x14ac:dyDescent="0.3">
      <c r="B33" s="181"/>
      <c r="C33" s="13" t="s">
        <v>53</v>
      </c>
      <c r="D33" s="183"/>
      <c r="E33" s="194"/>
      <c r="F33" s="171"/>
      <c r="G33" s="178"/>
      <c r="H33" s="179"/>
    </row>
    <row r="34" spans="2:8" x14ac:dyDescent="0.3">
      <c r="B34" s="25"/>
      <c r="C34" s="35" t="s">
        <v>70</v>
      </c>
      <c r="D34" s="107">
        <f>SUM(D35:D38)</f>
        <v>467880000</v>
      </c>
      <c r="E34" s="100" t="s">
        <v>112</v>
      </c>
      <c r="F34" s="107">
        <f>SUM(F35:F38)</f>
        <v>76269722</v>
      </c>
      <c r="G34" s="29">
        <v>0.16301128921945798</v>
      </c>
      <c r="H34" s="34"/>
    </row>
    <row r="35" spans="2:8" x14ac:dyDescent="0.3">
      <c r="B35" s="180">
        <v>15</v>
      </c>
      <c r="C35" s="12" t="s">
        <v>39</v>
      </c>
      <c r="D35" s="195">
        <v>46200000</v>
      </c>
      <c r="E35" s="237" t="s">
        <v>112</v>
      </c>
      <c r="F35" s="174">
        <v>5989722</v>
      </c>
      <c r="G35" s="185">
        <v>0.12964766233766234</v>
      </c>
      <c r="H35" s="153" t="s">
        <v>105</v>
      </c>
    </row>
    <row r="36" spans="2:8" x14ac:dyDescent="0.3">
      <c r="B36" s="181"/>
      <c r="C36" s="13" t="s">
        <v>0</v>
      </c>
      <c r="D36" s="194"/>
      <c r="E36" s="194"/>
      <c r="F36" s="171"/>
      <c r="G36" s="178"/>
      <c r="H36" s="186"/>
    </row>
    <row r="37" spans="2:8" x14ac:dyDescent="0.3">
      <c r="B37" s="180">
        <v>16</v>
      </c>
      <c r="C37" s="12" t="s">
        <v>40</v>
      </c>
      <c r="D37" s="193">
        <v>421680000</v>
      </c>
      <c r="E37" s="237" t="s">
        <v>112</v>
      </c>
      <c r="F37" s="174">
        <v>70280000</v>
      </c>
      <c r="G37" s="185">
        <v>0.16666666666666666</v>
      </c>
      <c r="H37" s="153" t="s">
        <v>105</v>
      </c>
    </row>
    <row r="38" spans="2:8" x14ac:dyDescent="0.3">
      <c r="B38" s="181"/>
      <c r="C38" s="75" t="s">
        <v>21</v>
      </c>
      <c r="D38" s="194"/>
      <c r="E38" s="194"/>
      <c r="F38" s="171"/>
      <c r="G38" s="178"/>
      <c r="H38" s="179"/>
    </row>
    <row r="39" spans="2:8" ht="27.6" x14ac:dyDescent="0.3">
      <c r="B39" s="25"/>
      <c r="C39" s="76" t="s">
        <v>71</v>
      </c>
      <c r="D39" s="106">
        <f>SUM(D40:D45)</f>
        <v>36174300</v>
      </c>
      <c r="E39" s="100" t="s">
        <v>112</v>
      </c>
      <c r="F39" s="106">
        <f>SUM(F40:F45)</f>
        <v>2129000</v>
      </c>
      <c r="G39" s="29">
        <v>5.8853937740329459E-2</v>
      </c>
      <c r="H39" s="31"/>
    </row>
    <row r="40" spans="2:8" x14ac:dyDescent="0.3">
      <c r="B40" s="180">
        <v>17</v>
      </c>
      <c r="C40" s="12" t="s">
        <v>32</v>
      </c>
      <c r="D40" s="187">
        <v>21430000</v>
      </c>
      <c r="E40" s="237" t="s">
        <v>112</v>
      </c>
      <c r="F40" s="174">
        <v>1729000</v>
      </c>
      <c r="G40" s="185">
        <v>8.068128791413906E-2</v>
      </c>
      <c r="H40" s="153" t="s">
        <v>105</v>
      </c>
    </row>
    <row r="41" spans="2:8" ht="27.6" x14ac:dyDescent="0.3">
      <c r="B41" s="181"/>
      <c r="C41" s="13" t="s">
        <v>78</v>
      </c>
      <c r="D41" s="183"/>
      <c r="E41" s="194"/>
      <c r="F41" s="171"/>
      <c r="G41" s="178"/>
      <c r="H41" s="179"/>
    </row>
    <row r="42" spans="2:8" x14ac:dyDescent="0.3">
      <c r="B42" s="180">
        <v>18</v>
      </c>
      <c r="C42" s="12" t="s">
        <v>31</v>
      </c>
      <c r="D42" s="187">
        <v>4140000</v>
      </c>
      <c r="E42" s="237" t="s">
        <v>112</v>
      </c>
      <c r="F42" s="170">
        <v>400000</v>
      </c>
      <c r="G42" s="177">
        <v>9.6618357487922704E-2</v>
      </c>
      <c r="H42" s="153" t="s">
        <v>105</v>
      </c>
    </row>
    <row r="43" spans="2:8" x14ac:dyDescent="0.3">
      <c r="B43" s="181"/>
      <c r="C43" s="13" t="s">
        <v>22</v>
      </c>
      <c r="D43" s="183"/>
      <c r="E43" s="194"/>
      <c r="F43" s="171"/>
      <c r="G43" s="178"/>
      <c r="H43" s="186"/>
    </row>
    <row r="44" spans="2:8" x14ac:dyDescent="0.3">
      <c r="B44" s="180">
        <v>19</v>
      </c>
      <c r="C44" s="12" t="s">
        <v>81</v>
      </c>
      <c r="D44" s="187">
        <v>10604300</v>
      </c>
      <c r="E44" s="237" t="s">
        <v>106</v>
      </c>
      <c r="F44" s="174">
        <v>0</v>
      </c>
      <c r="G44" s="185">
        <v>0</v>
      </c>
      <c r="H44" s="153" t="s">
        <v>117</v>
      </c>
    </row>
    <row r="45" spans="2:8" ht="27.6" x14ac:dyDescent="0.3">
      <c r="B45" s="181"/>
      <c r="C45" s="16" t="s">
        <v>80</v>
      </c>
      <c r="D45" s="183"/>
      <c r="E45" s="194"/>
      <c r="F45" s="171"/>
      <c r="G45" s="178"/>
      <c r="H45" s="186"/>
    </row>
    <row r="46" spans="2:8" ht="27.6" x14ac:dyDescent="0.3">
      <c r="B46" s="18"/>
      <c r="C46" s="19" t="s">
        <v>76</v>
      </c>
      <c r="D46" s="109">
        <f>D47</f>
        <v>4271800</v>
      </c>
      <c r="E46" s="99" t="s">
        <v>112</v>
      </c>
      <c r="F46" s="109">
        <f>F47</f>
        <v>0</v>
      </c>
      <c r="G46" s="113" t="s">
        <v>113</v>
      </c>
      <c r="H46" s="21"/>
    </row>
    <row r="47" spans="2:8" ht="27.6" x14ac:dyDescent="0.3">
      <c r="B47" s="32"/>
      <c r="C47" s="35" t="s">
        <v>64</v>
      </c>
      <c r="D47" s="107">
        <f>SUM(D48:D51)</f>
        <v>4271800</v>
      </c>
      <c r="E47" s="100" t="s">
        <v>112</v>
      </c>
      <c r="F47" s="107">
        <f>SUM(F48:F51)</f>
        <v>0</v>
      </c>
      <c r="G47" s="114" t="s">
        <v>106</v>
      </c>
      <c r="H47" s="37"/>
    </row>
    <row r="48" spans="2:8" x14ac:dyDescent="0.3">
      <c r="B48" s="192">
        <v>20</v>
      </c>
      <c r="C48" s="17" t="s">
        <v>41</v>
      </c>
      <c r="D48" s="182">
        <v>940000</v>
      </c>
      <c r="E48" s="237" t="s">
        <v>106</v>
      </c>
      <c r="F48" s="170">
        <v>0</v>
      </c>
      <c r="G48" s="177">
        <v>0</v>
      </c>
      <c r="H48" s="153" t="s">
        <v>118</v>
      </c>
    </row>
    <row r="49" spans="2:9" x14ac:dyDescent="0.3">
      <c r="B49" s="181"/>
      <c r="C49" s="16" t="s">
        <v>23</v>
      </c>
      <c r="D49" s="183"/>
      <c r="E49" s="194"/>
      <c r="F49" s="171"/>
      <c r="G49" s="178"/>
      <c r="H49" s="179"/>
    </row>
    <row r="50" spans="2:9" x14ac:dyDescent="0.3">
      <c r="B50" s="180">
        <v>21</v>
      </c>
      <c r="C50" s="12" t="s">
        <v>42</v>
      </c>
      <c r="D50" s="187">
        <v>3331800</v>
      </c>
      <c r="E50" s="237" t="s">
        <v>112</v>
      </c>
      <c r="F50" s="174"/>
      <c r="G50" s="247" t="s">
        <v>106</v>
      </c>
      <c r="H50" s="153" t="s">
        <v>116</v>
      </c>
    </row>
    <row r="51" spans="2:9" ht="27.6" x14ac:dyDescent="0.3">
      <c r="B51" s="181"/>
      <c r="C51" s="13" t="s">
        <v>24</v>
      </c>
      <c r="D51" s="183"/>
      <c r="E51" s="194"/>
      <c r="F51" s="171"/>
      <c r="G51" s="178"/>
      <c r="H51" s="179"/>
    </row>
    <row r="52" spans="2:9" x14ac:dyDescent="0.3">
      <c r="B52" s="18"/>
      <c r="C52" s="22" t="s">
        <v>72</v>
      </c>
      <c r="D52" s="110">
        <f>D53</f>
        <v>15000000</v>
      </c>
      <c r="E52" s="99" t="s">
        <v>104</v>
      </c>
      <c r="F52" s="110">
        <f>F53</f>
        <v>9000000</v>
      </c>
      <c r="G52" s="80">
        <v>0.6</v>
      </c>
      <c r="H52" s="24"/>
    </row>
    <row r="53" spans="2:9" x14ac:dyDescent="0.3">
      <c r="B53" s="27"/>
      <c r="C53" s="35" t="s">
        <v>65</v>
      </c>
      <c r="D53" s="107">
        <f>SUM(D54:D57)</f>
        <v>15000000</v>
      </c>
      <c r="E53" s="100" t="s">
        <v>112</v>
      </c>
      <c r="F53" s="107">
        <f>SUM(F54:F57)</f>
        <v>9000000</v>
      </c>
      <c r="G53" s="48">
        <v>0.6</v>
      </c>
      <c r="H53" s="37"/>
    </row>
    <row r="54" spans="2:9" x14ac:dyDescent="0.3">
      <c r="B54" s="192">
        <v>22</v>
      </c>
      <c r="C54" s="15" t="s">
        <v>55</v>
      </c>
      <c r="D54" s="182">
        <v>9000000</v>
      </c>
      <c r="E54" s="237" t="s">
        <v>104</v>
      </c>
      <c r="F54" s="170">
        <v>9000000</v>
      </c>
      <c r="G54" s="177">
        <v>1</v>
      </c>
      <c r="H54" s="179" t="s">
        <v>119</v>
      </c>
    </row>
    <row r="55" spans="2:9" ht="27.6" x14ac:dyDescent="0.3">
      <c r="B55" s="181"/>
      <c r="C55" s="13" t="s">
        <v>54</v>
      </c>
      <c r="D55" s="183"/>
      <c r="E55" s="194"/>
      <c r="F55" s="171"/>
      <c r="G55" s="178"/>
      <c r="H55" s="186"/>
      <c r="I55" s="45"/>
    </row>
    <row r="56" spans="2:9" x14ac:dyDescent="0.3">
      <c r="B56" s="180">
        <v>23</v>
      </c>
      <c r="C56" s="12" t="s">
        <v>43</v>
      </c>
      <c r="D56" s="187">
        <v>6000000</v>
      </c>
      <c r="E56" s="237" t="s">
        <v>112</v>
      </c>
      <c r="F56" s="174"/>
      <c r="G56" s="248" t="s">
        <v>106</v>
      </c>
      <c r="H56" s="153" t="s">
        <v>118</v>
      </c>
    </row>
    <row r="57" spans="2:9" ht="27.6" x14ac:dyDescent="0.3">
      <c r="B57" s="192"/>
      <c r="C57" s="16" t="s">
        <v>25</v>
      </c>
      <c r="D57" s="183"/>
      <c r="E57" s="194"/>
      <c r="F57" s="170"/>
      <c r="G57" s="177"/>
      <c r="H57" s="179"/>
    </row>
    <row r="58" spans="2:9" x14ac:dyDescent="0.3">
      <c r="B58" s="18"/>
      <c r="C58" s="19" t="s">
        <v>73</v>
      </c>
      <c r="D58" s="109">
        <f>D59</f>
        <v>21600000</v>
      </c>
      <c r="E58" s="99" t="s">
        <v>112</v>
      </c>
      <c r="F58" s="109">
        <f>F59</f>
        <v>3600000</v>
      </c>
      <c r="G58" s="46">
        <f>G59</f>
        <v>0.16666666666666666</v>
      </c>
      <c r="H58" s="21"/>
    </row>
    <row r="59" spans="2:9" x14ac:dyDescent="0.3">
      <c r="B59" s="25"/>
      <c r="C59" s="38" t="s">
        <v>82</v>
      </c>
      <c r="D59" s="107">
        <f>SUM(D60)</f>
        <v>21600000</v>
      </c>
      <c r="E59" s="100" t="s">
        <v>112</v>
      </c>
      <c r="F59" s="107">
        <f>SUM(F60)</f>
        <v>3600000</v>
      </c>
      <c r="G59" s="47">
        <v>0.16666666666666666</v>
      </c>
      <c r="H59" s="31"/>
    </row>
    <row r="60" spans="2:9" x14ac:dyDescent="0.3">
      <c r="B60" s="180">
        <v>25</v>
      </c>
      <c r="C60" s="12" t="s">
        <v>44</v>
      </c>
      <c r="D60" s="187">
        <v>21600000</v>
      </c>
      <c r="E60" s="237" t="s">
        <v>112</v>
      </c>
      <c r="F60" s="170">
        <v>3600000</v>
      </c>
      <c r="G60" s="185">
        <v>0.17</v>
      </c>
      <c r="H60" s="153" t="s">
        <v>105</v>
      </c>
    </row>
    <row r="61" spans="2:9" ht="27.6" x14ac:dyDescent="0.3">
      <c r="B61" s="181"/>
      <c r="C61" s="13" t="s">
        <v>26</v>
      </c>
      <c r="D61" s="183"/>
      <c r="E61" s="194"/>
      <c r="F61" s="171"/>
      <c r="G61" s="178"/>
      <c r="H61" s="186"/>
    </row>
    <row r="62" spans="2:9" x14ac:dyDescent="0.3">
      <c r="B62" s="18"/>
      <c r="C62" s="87" t="s">
        <v>74</v>
      </c>
      <c r="D62" s="111">
        <f>D63</f>
        <v>48250000</v>
      </c>
      <c r="E62" s="99" t="s">
        <v>106</v>
      </c>
      <c r="F62" s="111">
        <f>F63</f>
        <v>0</v>
      </c>
      <c r="G62" s="116" t="s">
        <v>106</v>
      </c>
      <c r="H62" s="21"/>
    </row>
    <row r="63" spans="2:9" ht="27.6" x14ac:dyDescent="0.3">
      <c r="B63" s="65"/>
      <c r="C63" s="35" t="s">
        <v>66</v>
      </c>
      <c r="D63" s="107">
        <f>SUM(D64:D67)</f>
        <v>48250000</v>
      </c>
      <c r="E63" s="100" t="s">
        <v>106</v>
      </c>
      <c r="F63" s="107">
        <f>SUM(F64:F67)</f>
        <v>0</v>
      </c>
      <c r="G63" s="115" t="s">
        <v>106</v>
      </c>
      <c r="H63" s="37"/>
    </row>
    <row r="64" spans="2:9" x14ac:dyDescent="0.3">
      <c r="B64" s="180">
        <v>26</v>
      </c>
      <c r="C64" s="12" t="s">
        <v>121</v>
      </c>
      <c r="D64" s="187">
        <v>44250000</v>
      </c>
      <c r="E64" s="237" t="s">
        <v>106</v>
      </c>
      <c r="F64" s="174"/>
      <c r="G64" s="247" t="s">
        <v>106</v>
      </c>
      <c r="H64" s="153" t="s">
        <v>118</v>
      </c>
    </row>
    <row r="65" spans="2:20" ht="69" x14ac:dyDescent="0.3">
      <c r="B65" s="181"/>
      <c r="C65" s="13" t="s">
        <v>27</v>
      </c>
      <c r="D65" s="183"/>
      <c r="E65" s="194"/>
      <c r="F65" s="171"/>
      <c r="G65" s="178"/>
      <c r="H65" s="179"/>
    </row>
    <row r="66" spans="2:20" x14ac:dyDescent="0.3">
      <c r="B66" s="180">
        <v>27</v>
      </c>
      <c r="C66" s="12" t="s">
        <v>46</v>
      </c>
      <c r="D66" s="187">
        <v>4000000</v>
      </c>
      <c r="E66" s="237" t="s">
        <v>106</v>
      </c>
      <c r="F66" s="174"/>
      <c r="G66" s="247" t="s">
        <v>106</v>
      </c>
      <c r="H66" s="153" t="s">
        <v>118</v>
      </c>
    </row>
    <row r="67" spans="2:20" ht="41.4" x14ac:dyDescent="0.3">
      <c r="B67" s="181"/>
      <c r="C67" s="13" t="s">
        <v>29</v>
      </c>
      <c r="D67" s="183"/>
      <c r="E67" s="194"/>
      <c r="F67" s="171"/>
      <c r="G67" s="178"/>
      <c r="H67" s="179"/>
    </row>
    <row r="68" spans="2:20" x14ac:dyDescent="0.3">
      <c r="B68" s="41"/>
      <c r="C68" s="42" t="s">
        <v>75</v>
      </c>
      <c r="D68" s="112">
        <f>D69</f>
        <v>7000000</v>
      </c>
      <c r="E68" s="99" t="s">
        <v>112</v>
      </c>
      <c r="F68" s="112">
        <f>F69</f>
        <v>0</v>
      </c>
      <c r="G68" s="117" t="s">
        <v>106</v>
      </c>
      <c r="H68" s="43"/>
    </row>
    <row r="69" spans="2:20" ht="27.6" x14ac:dyDescent="0.3">
      <c r="B69" s="25"/>
      <c r="C69" s="39" t="s">
        <v>67</v>
      </c>
      <c r="D69" s="107">
        <f>SUM(D70)</f>
        <v>7000000</v>
      </c>
      <c r="E69" s="100" t="s">
        <v>112</v>
      </c>
      <c r="F69" s="107">
        <f>SUM(F70)</f>
        <v>0</v>
      </c>
      <c r="G69" s="118" t="s">
        <v>106</v>
      </c>
      <c r="H69" s="40"/>
    </row>
    <row r="70" spans="2:20" x14ac:dyDescent="0.3">
      <c r="B70" s="180">
        <v>28</v>
      </c>
      <c r="C70" s="17" t="s">
        <v>47</v>
      </c>
      <c r="D70" s="182">
        <v>7000000</v>
      </c>
      <c r="E70" s="237" t="s">
        <v>112</v>
      </c>
      <c r="F70" s="174"/>
      <c r="G70" s="247" t="s">
        <v>106</v>
      </c>
      <c r="H70" s="153" t="s">
        <v>118</v>
      </c>
      <c r="I70" s="168"/>
      <c r="J70" s="167"/>
      <c r="K70" s="167"/>
      <c r="L70" s="167"/>
      <c r="M70" s="167"/>
      <c r="N70" s="167"/>
      <c r="O70" s="167"/>
      <c r="P70" s="167"/>
      <c r="Q70" s="167"/>
      <c r="R70" s="167"/>
      <c r="S70" s="167"/>
      <c r="T70" s="167"/>
    </row>
    <row r="71" spans="2:20" x14ac:dyDescent="0.3">
      <c r="B71" s="181"/>
      <c r="C71" s="13" t="s">
        <v>28</v>
      </c>
      <c r="D71" s="183"/>
      <c r="E71" s="194"/>
      <c r="F71" s="170"/>
      <c r="G71" s="178"/>
      <c r="H71" s="179"/>
      <c r="I71" s="169"/>
      <c r="J71" s="167"/>
      <c r="K71" s="167"/>
      <c r="L71" s="167"/>
      <c r="M71" s="167"/>
      <c r="N71" s="167"/>
      <c r="O71" s="167"/>
      <c r="P71" s="167"/>
      <c r="Q71" s="167"/>
      <c r="R71" s="167"/>
      <c r="S71" s="167"/>
      <c r="T71" s="167"/>
    </row>
    <row r="72" spans="2:20" x14ac:dyDescent="0.3">
      <c r="B72" s="161"/>
      <c r="C72" s="163" t="s">
        <v>58</v>
      </c>
      <c r="D72" s="249">
        <f>D68+D62+D58+D52+D46+D7</f>
        <v>2801486092</v>
      </c>
      <c r="E72" s="159"/>
      <c r="F72" s="249">
        <f>F68+F62+F58+F52+F46+F7</f>
        <v>623219654</v>
      </c>
      <c r="G72" s="157">
        <v>0.22246037764730764</v>
      </c>
      <c r="H72" s="153"/>
    </row>
    <row r="73" spans="2:20" ht="6.6" customHeight="1" thickBot="1" x14ac:dyDescent="0.35">
      <c r="B73" s="162"/>
      <c r="C73" s="164"/>
      <c r="D73" s="164"/>
      <c r="E73" s="160"/>
      <c r="F73" s="164"/>
      <c r="G73" s="158"/>
      <c r="H73" s="154"/>
    </row>
    <row r="74" spans="2:20" ht="8.4" customHeight="1" x14ac:dyDescent="0.3">
      <c r="B74" s="95"/>
      <c r="E74" s="2"/>
      <c r="F74" s="61"/>
    </row>
    <row r="75" spans="2:20" x14ac:dyDescent="0.3">
      <c r="E75" s="4"/>
      <c r="F75" s="45"/>
      <c r="H75" s="101" t="s">
        <v>120</v>
      </c>
      <c r="I75" s="5"/>
      <c r="J75" s="5"/>
      <c r="K75" s="5"/>
    </row>
    <row r="76" spans="2:20" x14ac:dyDescent="0.3">
      <c r="E76" s="4"/>
      <c r="F76" s="61"/>
      <c r="H76" s="101" t="s">
        <v>56</v>
      </c>
      <c r="I76" s="5"/>
      <c r="J76" s="5"/>
      <c r="K76" s="5"/>
    </row>
    <row r="77" spans="2:20" x14ac:dyDescent="0.3">
      <c r="E77" s="4"/>
      <c r="H77" s="102"/>
      <c r="I77" s="94"/>
      <c r="J77" s="94"/>
      <c r="K77" s="94"/>
    </row>
    <row r="78" spans="2:20" x14ac:dyDescent="0.3">
      <c r="E78" s="4"/>
      <c r="F78" s="45"/>
      <c r="H78" s="102"/>
      <c r="I78" s="94"/>
      <c r="J78" s="94"/>
      <c r="K78" s="94"/>
    </row>
    <row r="79" spans="2:20" x14ac:dyDescent="0.3">
      <c r="E79" s="78"/>
      <c r="H79" s="102"/>
      <c r="I79" s="94"/>
      <c r="J79" s="94"/>
      <c r="K79" s="94"/>
    </row>
    <row r="80" spans="2:20" x14ac:dyDescent="0.3">
      <c r="E80" s="4"/>
      <c r="H80" s="103" t="s">
        <v>59</v>
      </c>
      <c r="I80" s="104"/>
      <c r="J80" s="104"/>
      <c r="K80" s="104"/>
    </row>
    <row r="81" spans="1:20" ht="10.5" customHeight="1" x14ac:dyDescent="0.3">
      <c r="E81" s="78"/>
      <c r="H81" s="101" t="s">
        <v>79</v>
      </c>
      <c r="I81" s="5"/>
      <c r="J81" s="5"/>
      <c r="K81" s="5"/>
    </row>
    <row r="82" spans="1:20" x14ac:dyDescent="0.3">
      <c r="E82" s="4"/>
      <c r="H82" s="101" t="s">
        <v>60</v>
      </c>
      <c r="I82" s="5"/>
      <c r="J82" s="5"/>
      <c r="K82" s="5"/>
    </row>
    <row r="83" spans="1:20" x14ac:dyDescent="0.3">
      <c r="B83" s="95"/>
      <c r="E83" s="2"/>
    </row>
    <row r="84" spans="1:20" x14ac:dyDescent="0.3">
      <c r="B84" s="95"/>
      <c r="E84" s="2"/>
    </row>
    <row r="87" spans="1:20" x14ac:dyDescent="0.3">
      <c r="E87" s="77"/>
    </row>
    <row r="88" spans="1:20" x14ac:dyDescent="0.3">
      <c r="E88" s="77"/>
    </row>
    <row r="89" spans="1:20" x14ac:dyDescent="0.3">
      <c r="E89" s="77"/>
    </row>
    <row r="90" spans="1:20" x14ac:dyDescent="0.3">
      <c r="E90" s="77"/>
    </row>
    <row r="91" spans="1:20" x14ac:dyDescent="0.3">
      <c r="E91" s="77"/>
    </row>
    <row r="92" spans="1:20" s="8" customFormat="1" x14ac:dyDescent="0.3">
      <c r="A92"/>
      <c r="B92"/>
      <c r="C92"/>
      <c r="D92"/>
      <c r="E92" s="77"/>
      <c r="F92"/>
      <c r="G92"/>
      <c r="H92"/>
      <c r="I92"/>
      <c r="J92"/>
      <c r="K92"/>
      <c r="L92"/>
      <c r="M92"/>
      <c r="N92"/>
      <c r="O92"/>
      <c r="P92"/>
      <c r="Q92"/>
      <c r="R92"/>
      <c r="S92"/>
      <c r="T92"/>
    </row>
    <row r="93" spans="1:20" s="8" customFormat="1" x14ac:dyDescent="0.3">
      <c r="A93"/>
      <c r="B93"/>
      <c r="C93"/>
      <c r="D93"/>
      <c r="E93" s="77"/>
      <c r="F93"/>
      <c r="G93"/>
      <c r="H93"/>
      <c r="I93"/>
      <c r="J93"/>
      <c r="K93"/>
      <c r="L93"/>
      <c r="M93"/>
      <c r="N93"/>
      <c r="O93"/>
      <c r="P93"/>
      <c r="Q93"/>
      <c r="R93"/>
      <c r="S93"/>
      <c r="T93"/>
    </row>
  </sheetData>
  <mergeCells count="173">
    <mergeCell ref="Q70:Q71"/>
    <mergeCell ref="R70:R71"/>
    <mergeCell ref="S70:S71"/>
    <mergeCell ref="T70:T71"/>
    <mergeCell ref="B72:B73"/>
    <mergeCell ref="C72:C73"/>
    <mergeCell ref="E72:E73"/>
    <mergeCell ref="F72:F73"/>
    <mergeCell ref="G72:G73"/>
    <mergeCell ref="J70:J71"/>
    <mergeCell ref="K70:K71"/>
    <mergeCell ref="L70:L71"/>
    <mergeCell ref="M70:M71"/>
    <mergeCell ref="N70:N71"/>
    <mergeCell ref="O70:O71"/>
    <mergeCell ref="B70:B71"/>
    <mergeCell ref="E70:E71"/>
    <mergeCell ref="F70:F71"/>
    <mergeCell ref="G70:G71"/>
    <mergeCell ref="H70:H71"/>
    <mergeCell ref="I70:I71"/>
    <mergeCell ref="H72:H73"/>
    <mergeCell ref="D70:D71"/>
    <mergeCell ref="D72:D73"/>
    <mergeCell ref="P70:P71"/>
    <mergeCell ref="B64:B65"/>
    <mergeCell ref="E64:E65"/>
    <mergeCell ref="F64:F65"/>
    <mergeCell ref="G64:G65"/>
    <mergeCell ref="H64:H65"/>
    <mergeCell ref="B66:B67"/>
    <mergeCell ref="E66:E67"/>
    <mergeCell ref="F66:F67"/>
    <mergeCell ref="G66:G67"/>
    <mergeCell ref="H66:H67"/>
    <mergeCell ref="D64:D65"/>
    <mergeCell ref="D66:D67"/>
    <mergeCell ref="B56:B57"/>
    <mergeCell ref="E56:E57"/>
    <mergeCell ref="F56:F57"/>
    <mergeCell ref="G56:G57"/>
    <mergeCell ref="H56:H57"/>
    <mergeCell ref="B60:B61"/>
    <mergeCell ref="E60:E61"/>
    <mergeCell ref="F60:F61"/>
    <mergeCell ref="G60:G61"/>
    <mergeCell ref="H60:H61"/>
    <mergeCell ref="D60:D61"/>
    <mergeCell ref="D56:D57"/>
    <mergeCell ref="B50:B51"/>
    <mergeCell ref="E50:E51"/>
    <mergeCell ref="F50:F51"/>
    <mergeCell ref="G50:G51"/>
    <mergeCell ref="H50:H51"/>
    <mergeCell ref="B54:B55"/>
    <mergeCell ref="E54:E55"/>
    <mergeCell ref="F54:F55"/>
    <mergeCell ref="G54:G55"/>
    <mergeCell ref="H54:H55"/>
    <mergeCell ref="D50:D51"/>
    <mergeCell ref="D54:D55"/>
    <mergeCell ref="B44:B45"/>
    <mergeCell ref="E44:E45"/>
    <mergeCell ref="F44:F45"/>
    <mergeCell ref="G44:G45"/>
    <mergeCell ref="H44:H45"/>
    <mergeCell ref="B48:B49"/>
    <mergeCell ref="E48:E49"/>
    <mergeCell ref="F48:F49"/>
    <mergeCell ref="G48:G49"/>
    <mergeCell ref="H48:H49"/>
    <mergeCell ref="D44:D45"/>
    <mergeCell ref="D48:D49"/>
    <mergeCell ref="B40:B41"/>
    <mergeCell ref="E40:E41"/>
    <mergeCell ref="F40:F41"/>
    <mergeCell ref="G40:G41"/>
    <mergeCell ref="H40:H41"/>
    <mergeCell ref="B42:B43"/>
    <mergeCell ref="E42:E43"/>
    <mergeCell ref="F42:F43"/>
    <mergeCell ref="G42:G43"/>
    <mergeCell ref="H42:H43"/>
    <mergeCell ref="D40:D41"/>
    <mergeCell ref="D42:D43"/>
    <mergeCell ref="B35:B36"/>
    <mergeCell ref="E35:E36"/>
    <mergeCell ref="F35:F36"/>
    <mergeCell ref="G35:G36"/>
    <mergeCell ref="H35:H36"/>
    <mergeCell ref="B37:B38"/>
    <mergeCell ref="E37:E38"/>
    <mergeCell ref="F37:F38"/>
    <mergeCell ref="G37:G38"/>
    <mergeCell ref="H37:H38"/>
    <mergeCell ref="D35:D36"/>
    <mergeCell ref="D37:D38"/>
    <mergeCell ref="B32:B33"/>
    <mergeCell ref="E32:E33"/>
    <mergeCell ref="F32:F33"/>
    <mergeCell ref="G32:G33"/>
    <mergeCell ref="H32:H33"/>
    <mergeCell ref="B28:B29"/>
    <mergeCell ref="E28:E29"/>
    <mergeCell ref="F28:F29"/>
    <mergeCell ref="G28:G29"/>
    <mergeCell ref="H28:H29"/>
    <mergeCell ref="B30:B31"/>
    <mergeCell ref="E30:E31"/>
    <mergeCell ref="F30:F31"/>
    <mergeCell ref="G30:G31"/>
    <mergeCell ref="H30:H31"/>
    <mergeCell ref="D28:D29"/>
    <mergeCell ref="D30:D31"/>
    <mergeCell ref="D32:D33"/>
    <mergeCell ref="B24:B25"/>
    <mergeCell ref="E24:E25"/>
    <mergeCell ref="F24:F25"/>
    <mergeCell ref="G24:G25"/>
    <mergeCell ref="H24:H25"/>
    <mergeCell ref="B26:B27"/>
    <mergeCell ref="E26:E27"/>
    <mergeCell ref="F26:F27"/>
    <mergeCell ref="G26:G27"/>
    <mergeCell ref="H26:H27"/>
    <mergeCell ref="D24:D25"/>
    <mergeCell ref="D26:D27"/>
    <mergeCell ref="B20:B21"/>
    <mergeCell ref="E20:E21"/>
    <mergeCell ref="F20:F21"/>
    <mergeCell ref="G20:G21"/>
    <mergeCell ref="H20:H21"/>
    <mergeCell ref="B22:B23"/>
    <mergeCell ref="E22:E23"/>
    <mergeCell ref="F22:F23"/>
    <mergeCell ref="G22:G23"/>
    <mergeCell ref="H22:H23"/>
    <mergeCell ref="D20:D21"/>
    <mergeCell ref="D22:D23"/>
    <mergeCell ref="B14:B15"/>
    <mergeCell ref="E14:E15"/>
    <mergeCell ref="F14:F15"/>
    <mergeCell ref="G14:G15"/>
    <mergeCell ref="H14:H15"/>
    <mergeCell ref="B17:B18"/>
    <mergeCell ref="E17:E18"/>
    <mergeCell ref="F17:F18"/>
    <mergeCell ref="G17:G18"/>
    <mergeCell ref="H17:H18"/>
    <mergeCell ref="D14:D15"/>
    <mergeCell ref="D17:D18"/>
    <mergeCell ref="B9:B10"/>
    <mergeCell ref="E9:E10"/>
    <mergeCell ref="F9:F10"/>
    <mergeCell ref="G9:G10"/>
    <mergeCell ref="H9:H10"/>
    <mergeCell ref="B11:B12"/>
    <mergeCell ref="E11:E12"/>
    <mergeCell ref="F11:F12"/>
    <mergeCell ref="G11:G12"/>
    <mergeCell ref="H11:H12"/>
    <mergeCell ref="D9:D10"/>
    <mergeCell ref="D11:D12"/>
    <mergeCell ref="B1:H1"/>
    <mergeCell ref="B2:H2"/>
    <mergeCell ref="B3:C3"/>
    <mergeCell ref="B4:B6"/>
    <mergeCell ref="C4:C6"/>
    <mergeCell ref="E4:E6"/>
    <mergeCell ref="F4:F6"/>
    <mergeCell ref="G4:G6"/>
    <mergeCell ref="H4:H6"/>
    <mergeCell ref="D4:D6"/>
  </mergeCells>
  <pageMargins left="1.1023622047244095" right="0.70866141732283472" top="0.74803149606299213" bottom="0.74803149606299213" header="0.31496062992125984" footer="0.31496062992125984"/>
  <pageSetup paperSize="5" scale="85" orientation="landscape" horizontalDpi="300" verticalDpi="300" r:id="rId1"/>
  <rowBreaks count="2" manualBreakCount="2">
    <brk id="38" max="7" man="1"/>
    <brk id="63" max="7"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sept</vt:lpstr>
      <vt:lpstr>agus</vt:lpstr>
      <vt:lpstr>JULI</vt:lpstr>
      <vt:lpstr>realisasi sd juni</vt:lpstr>
      <vt:lpstr>JUNI</vt:lpstr>
      <vt:lpstr>MEI</vt:lpstr>
      <vt:lpstr>realisasi sd april</vt:lpstr>
      <vt:lpstr>APRIL</vt:lpstr>
      <vt:lpstr>REKAP REALISASI BELANJA maret</vt:lpstr>
      <vt:lpstr>MARET</vt:lpstr>
      <vt:lpstr>FEBUARI</vt:lpstr>
      <vt:lpstr>JANUARI</vt:lpstr>
      <vt:lpstr>Sheet3</vt:lpstr>
      <vt:lpstr>agus!Print_Area</vt:lpstr>
      <vt:lpstr>APRIL!Print_Area</vt:lpstr>
      <vt:lpstr>FEBUARI!Print_Area</vt:lpstr>
      <vt:lpstr>JANUARI!Print_Area</vt:lpstr>
      <vt:lpstr>JULI!Print_Area</vt:lpstr>
      <vt:lpstr>JUNI!Print_Area</vt:lpstr>
      <vt:lpstr>MARET!Print_Area</vt:lpstr>
      <vt:lpstr>MEI!Print_Area</vt:lpstr>
      <vt:lpstr>'realisasi sd april'!Print_Area</vt:lpstr>
      <vt:lpstr>'realisasi sd juni'!Print_Area</vt:lpstr>
      <vt:lpstr>'REKAP REALISASI BELANJA maret'!Print_Area</vt:lpstr>
      <vt:lpstr>sept!Print_Area</vt:lpstr>
      <vt:lpstr>Sheet3!Print_Area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MyBook Hype AMD</cp:lastModifiedBy>
  <cp:lastPrinted>2025-09-03T07:00:25Z</cp:lastPrinted>
  <dcterms:created xsi:type="dcterms:W3CDTF">2006-12-31T19:23:04Z</dcterms:created>
  <dcterms:modified xsi:type="dcterms:W3CDTF">2025-10-06T09:00:33Z</dcterms:modified>
</cp:coreProperties>
</file>