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showInkAnnotation="0" defaultThemeVersion="124226"/>
  <bookViews>
    <workbookView xWindow="-105" yWindow="-105" windowWidth="20730" windowHeight="11760" tabRatio="915" activeTab="3"/>
  </bookViews>
  <sheets>
    <sheet name="REKAP" sheetId="67" r:id="rId1"/>
    <sheet name="RAB" sheetId="69" r:id="rId2"/>
    <sheet name="HGR.SAT" sheetId="59" r:id="rId3"/>
    <sheet name="ANALISA" sheetId="58" r:id="rId4"/>
    <sheet name="UPH-TNG" sheetId="11" r:id="rId5"/>
    <sheet name="BACK UP VOLUME" sheetId="71" r:id="rId6"/>
    <sheet name="K-3" sheetId="70" state="hidden" r:id="rId7"/>
    <sheet name="huruf" sheetId="64" r:id="rId8"/>
  </sheets>
  <externalReferences>
    <externalReference r:id="rId9"/>
  </externalReferences>
  <definedNames>
    <definedName name="_Fill" hidden="1">#REF!</definedName>
    <definedName name="_xlnm._FilterDatabase" localSheetId="2" hidden="1">HGR.SAT!$B$10:$K$140</definedName>
    <definedName name="_xlnm._FilterDatabase" localSheetId="4" hidden="1">'UPH-TNG'!$D$14:$F$154</definedName>
    <definedName name="_MMM10">'[1]4-Basic Price'!$G$99</definedName>
    <definedName name="_MMM26">'[1]4-Basic Price'!$G$77</definedName>
    <definedName name="_MMM31">'[1]4-Basic Price'!$G$100</definedName>
    <definedName name="_Order1" hidden="1">255</definedName>
    <definedName name="i">#REF!</definedName>
    <definedName name="_xlnm.Print_Area" localSheetId="3">ANALISA!$C$1:$N$2003</definedName>
    <definedName name="_xlnm.Print_Area" localSheetId="1">RAB!$B$1:$O$143</definedName>
    <definedName name="_xlnm.Print_Area" localSheetId="0">REKAP!$B$1:$K$55</definedName>
    <definedName name="_xlnm.Print_Area" localSheetId="4">'UPH-TNG'!$A$1:$J$151</definedName>
    <definedName name="_xlnm.Print_Titles" localSheetId="1">RAB!$19:$23</definedName>
    <definedName name="_xlnm.Print_Titles" localSheetId="4">'UPH-TNG'!$30:$33</definedName>
    <definedName name="zdvnkh8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3" i="69"/>
  <c r="S55" i="71"/>
  <c r="G34" i="69"/>
  <c r="T23" i="71"/>
  <c r="S23"/>
  <c r="B23"/>
  <c r="B34" i="69"/>
  <c r="B35"/>
  <c r="I95" i="71"/>
  <c r="I98"/>
  <c r="S61"/>
  <c r="S62"/>
  <c r="S63"/>
  <c r="S65"/>
  <c r="S66"/>
  <c r="S67"/>
  <c r="S68"/>
  <c r="S69"/>
  <c r="S70"/>
  <c r="S71"/>
  <c r="S73"/>
  <c r="S60"/>
  <c r="I144"/>
  <c r="K143" s="1"/>
  <c r="I143"/>
  <c r="K144" s="1"/>
  <c r="H143"/>
  <c r="X144"/>
  <c r="Z144" s="1"/>
  <c r="AA144" s="1"/>
  <c r="X143"/>
  <c r="Z143" s="1"/>
  <c r="AA143" s="1"/>
  <c r="S147"/>
  <c r="S136"/>
  <c r="K202"/>
  <c r="K191"/>
  <c r="S146"/>
  <c r="S145"/>
  <c r="I142"/>
  <c r="K141" s="1"/>
  <c r="I141"/>
  <c r="K142" s="1"/>
  <c r="X142"/>
  <c r="Z142" s="1"/>
  <c r="AA142" s="1"/>
  <c r="X141"/>
  <c r="Z141" s="1"/>
  <c r="AA141" s="1"/>
  <c r="H141"/>
  <c r="S134"/>
  <c r="I140"/>
  <c r="K139" s="1"/>
  <c r="I139"/>
  <c r="K140" s="1"/>
  <c r="X140"/>
  <c r="Z140" s="1"/>
  <c r="AA140" s="1"/>
  <c r="H139"/>
  <c r="X139"/>
  <c r="Z139" s="1"/>
  <c r="AA139" s="1"/>
  <c r="S135"/>
  <c r="C133"/>
  <c r="S59" l="1"/>
  <c r="T59" s="1"/>
  <c r="M143"/>
  <c r="S143" s="1"/>
  <c r="AC143"/>
  <c r="AC144"/>
  <c r="M144"/>
  <c r="S144" s="1"/>
  <c r="T134"/>
  <c r="G71" i="69" s="1"/>
  <c r="T145" i="71"/>
  <c r="G73" i="69" s="1"/>
  <c r="M141" i="71"/>
  <c r="S141" s="1"/>
  <c r="AC141"/>
  <c r="AC142"/>
  <c r="M142"/>
  <c r="S142"/>
  <c r="M140"/>
  <c r="S140" s="1"/>
  <c r="AC140"/>
  <c r="AC139"/>
  <c r="M139"/>
  <c r="S139" s="1"/>
  <c r="T138" l="1"/>
  <c r="G72" i="69" l="1"/>
  <c r="W134" i="71"/>
  <c r="J1094" i="58" l="1"/>
  <c r="S172" i="71" l="1"/>
  <c r="T172" s="1"/>
  <c r="G93" i="69" s="1"/>
  <c r="B93"/>
  <c r="B172" i="71" s="1"/>
  <c r="I171"/>
  <c r="S171" s="1"/>
  <c r="I170"/>
  <c r="S170" s="1"/>
  <c r="I169"/>
  <c r="S169" s="1"/>
  <c r="I168"/>
  <c r="S168" s="1"/>
  <c r="S45"/>
  <c r="S81"/>
  <c r="M124"/>
  <c r="I21"/>
  <c r="S21" s="1"/>
  <c r="I31"/>
  <c r="S31" s="1"/>
  <c r="I30"/>
  <c r="S30" s="1"/>
  <c r="I32"/>
  <c r="S32" s="1"/>
  <c r="S80"/>
  <c r="S79"/>
  <c r="S78"/>
  <c r="S77"/>
  <c r="S76"/>
  <c r="S75"/>
  <c r="S44"/>
  <c r="S35"/>
  <c r="S36"/>
  <c r="S37"/>
  <c r="S39"/>
  <c r="S40"/>
  <c r="S41"/>
  <c r="S42"/>
  <c r="S43"/>
  <c r="S47"/>
  <c r="S34"/>
  <c r="G80" i="69"/>
  <c r="G79"/>
  <c r="S158" i="71"/>
  <c r="I25"/>
  <c r="S25" s="1"/>
  <c r="B94" i="69" l="1"/>
  <c r="B95" s="1"/>
  <c r="B96" s="1"/>
  <c r="T168" i="71"/>
  <c r="G92" i="69" s="1"/>
  <c r="S48" i="71"/>
  <c r="T30" s="1"/>
  <c r="T75"/>
  <c r="I28"/>
  <c r="I104" s="1"/>
  <c r="D34" i="67"/>
  <c r="B34"/>
  <c r="D33"/>
  <c r="B33"/>
  <c r="D32"/>
  <c r="B32"/>
  <c r="D31"/>
  <c r="B31"/>
  <c r="D30"/>
  <c r="B30"/>
  <c r="D29"/>
  <c r="B29"/>
  <c r="D28"/>
  <c r="B28"/>
  <c r="D27"/>
  <c r="B27"/>
  <c r="D26"/>
  <c r="B26"/>
  <c r="D25"/>
  <c r="B25"/>
  <c r="S174" i="71"/>
  <c r="T174" s="1"/>
  <c r="G95" i="69" s="1"/>
  <c r="S175" i="71"/>
  <c r="I675" i="58"/>
  <c r="S665"/>
  <c r="R665"/>
  <c r="S185" i="71"/>
  <c r="T185" s="1"/>
  <c r="G106" i="69" s="1"/>
  <c r="K122" i="71"/>
  <c r="I195"/>
  <c r="S195" s="1"/>
  <c r="S189"/>
  <c r="T189" s="1"/>
  <c r="K190"/>
  <c r="I190"/>
  <c r="C203"/>
  <c r="C200"/>
  <c r="B200"/>
  <c r="B195"/>
  <c r="C194"/>
  <c r="B194"/>
  <c r="C188"/>
  <c r="B188"/>
  <c r="S184"/>
  <c r="T184" s="1"/>
  <c r="G105" i="69" s="1"/>
  <c r="S183" i="71"/>
  <c r="T183" s="1"/>
  <c r="G104" i="69" s="1"/>
  <c r="S182" i="71"/>
  <c r="T182" s="1"/>
  <c r="G103" i="69" s="1"/>
  <c r="S181" i="71"/>
  <c r="T181" s="1"/>
  <c r="G102" i="69" s="1"/>
  <c r="S180" i="71"/>
  <c r="T180" s="1"/>
  <c r="G101" i="69" s="1"/>
  <c r="S179" i="71"/>
  <c r="T179" s="1"/>
  <c r="G100" i="69" s="1"/>
  <c r="B179" i="71"/>
  <c r="C178"/>
  <c r="B178"/>
  <c r="S164"/>
  <c r="T164" s="1"/>
  <c r="G88" i="69" s="1"/>
  <c r="S163" i="71"/>
  <c r="T163" s="1"/>
  <c r="S161"/>
  <c r="T161" s="1"/>
  <c r="S160"/>
  <c r="T160" s="1"/>
  <c r="S159"/>
  <c r="T159" s="1"/>
  <c r="G83" i="69" s="1"/>
  <c r="T158" i="71"/>
  <c r="G82" i="69" s="1"/>
  <c r="S157" i="71"/>
  <c r="T157" s="1"/>
  <c r="S156"/>
  <c r="T156" s="1"/>
  <c r="S155"/>
  <c r="T155" s="1"/>
  <c r="S154"/>
  <c r="T154" s="1"/>
  <c r="G78" i="69" s="1"/>
  <c r="S153" i="71"/>
  <c r="T153" s="1"/>
  <c r="G77" i="69" s="1"/>
  <c r="S162" i="71"/>
  <c r="T162" s="1"/>
  <c r="G86" i="69" s="1"/>
  <c r="B168" i="71"/>
  <c r="C167"/>
  <c r="B167"/>
  <c r="I129"/>
  <c r="S124"/>
  <c r="I107"/>
  <c r="X107"/>
  <c r="X106"/>
  <c r="I120"/>
  <c r="X120"/>
  <c r="X119"/>
  <c r="K115"/>
  <c r="O110"/>
  <c r="S110" s="1"/>
  <c r="O113"/>
  <c r="M115" s="1"/>
  <c r="I113"/>
  <c r="X112"/>
  <c r="X113"/>
  <c r="I112"/>
  <c r="M113" s="1"/>
  <c r="K108"/>
  <c r="K102"/>
  <c r="I102"/>
  <c r="C103"/>
  <c r="C101"/>
  <c r="M95"/>
  <c r="H95"/>
  <c r="I94"/>
  <c r="I93"/>
  <c r="S93" s="1"/>
  <c r="H93"/>
  <c r="H94"/>
  <c r="S89"/>
  <c r="S84"/>
  <c r="S83"/>
  <c r="S53"/>
  <c r="I52"/>
  <c r="K28"/>
  <c r="J1075" i="58"/>
  <c r="N1075" s="1"/>
  <c r="T175" i="71" l="1"/>
  <c r="G96" i="69" s="1"/>
  <c r="S173" i="71"/>
  <c r="I191"/>
  <c r="S191" s="1"/>
  <c r="T191" s="1"/>
  <c r="G112" i="69" s="1"/>
  <c r="T195" i="71"/>
  <c r="G116" i="69" s="1"/>
  <c r="S190" i="71"/>
  <c r="T190" s="1"/>
  <c r="I196"/>
  <c r="G110" i="69"/>
  <c r="S95" i="71"/>
  <c r="S102"/>
  <c r="I128"/>
  <c r="I106"/>
  <c r="I108"/>
  <c r="S108" s="1"/>
  <c r="S104"/>
  <c r="S85"/>
  <c r="T83" s="1"/>
  <c r="G45" i="69" s="1"/>
  <c r="G43"/>
  <c r="S196" i="71" l="1"/>
  <c r="T196" s="1"/>
  <c r="T173"/>
  <c r="G94" i="69" s="1"/>
  <c r="K129" i="71"/>
  <c r="M132"/>
  <c r="I203"/>
  <c r="S203" s="1"/>
  <c r="T203" s="1"/>
  <c r="G125" i="69" s="1"/>
  <c r="S197" i="71"/>
  <c r="T197" s="1"/>
  <c r="M107"/>
  <c r="I117"/>
  <c r="G119" i="69" l="1"/>
  <c r="G118"/>
  <c r="G117"/>
  <c r="S117" i="71"/>
  <c r="T117" s="1"/>
  <c r="G63" i="69" s="1"/>
  <c r="I119" i="71"/>
  <c r="M120" l="1"/>
  <c r="I122"/>
  <c r="S122" s="1"/>
  <c r="H579" i="58" l="1"/>
  <c r="H577"/>
  <c r="H507"/>
  <c r="H504"/>
  <c r="I338"/>
  <c r="P338" s="1"/>
  <c r="K134" i="69" l="1"/>
  <c r="I1746" i="58"/>
  <c r="J1746" s="1"/>
  <c r="I1729"/>
  <c r="I1731"/>
  <c r="N1751"/>
  <c r="K1751"/>
  <c r="N1750"/>
  <c r="N1749"/>
  <c r="I1748"/>
  <c r="J1748" s="1"/>
  <c r="N1747"/>
  <c r="O1741"/>
  <c r="O118" i="59"/>
  <c r="Q118" s="1"/>
  <c r="R118" s="1"/>
  <c r="K142" i="69"/>
  <c r="K136"/>
  <c r="K135"/>
  <c r="S800" i="58"/>
  <c r="B57" i="11"/>
  <c r="K1749" i="58" l="1"/>
  <c r="N1748"/>
  <c r="K1747"/>
  <c r="J123" i="59"/>
  <c r="J122"/>
  <c r="X130" i="71"/>
  <c r="Z130" s="1"/>
  <c r="AA130" s="1"/>
  <c r="AC130" s="1"/>
  <c r="X129"/>
  <c r="Z129" s="1"/>
  <c r="AA129" s="1"/>
  <c r="X128"/>
  <c r="Z128" s="1"/>
  <c r="AA128" s="1"/>
  <c r="AC128" s="1"/>
  <c r="I135" i="11"/>
  <c r="J675" i="58" s="1"/>
  <c r="K676" s="1"/>
  <c r="N683"/>
  <c r="K683"/>
  <c r="N682"/>
  <c r="N681"/>
  <c r="I680"/>
  <c r="J680" s="1"/>
  <c r="N680" s="1"/>
  <c r="I679"/>
  <c r="J679" s="1"/>
  <c r="N679" s="1"/>
  <c r="I678"/>
  <c r="J678" s="1"/>
  <c r="N678" s="1"/>
  <c r="I677"/>
  <c r="J677" s="1"/>
  <c r="N676"/>
  <c r="L675"/>
  <c r="O670"/>
  <c r="K1752" l="1"/>
  <c r="N1752"/>
  <c r="M128" i="71"/>
  <c r="S128" s="1"/>
  <c r="AC129"/>
  <c r="M129"/>
  <c r="S129" s="1"/>
  <c r="N675" i="58"/>
  <c r="K681"/>
  <c r="K684" s="1"/>
  <c r="N677"/>
  <c r="L1752" l="1"/>
  <c r="Q1741" s="1"/>
  <c r="R1741"/>
  <c r="S131" i="71"/>
  <c r="N684" i="58"/>
  <c r="L684" s="1"/>
  <c r="Q670" s="1"/>
  <c r="T131" i="71" l="1"/>
  <c r="G68" i="69" s="1"/>
  <c r="R670" i="58"/>
  <c r="B40" i="69" l="1"/>
  <c r="B41" s="1"/>
  <c r="B42" s="1"/>
  <c r="B43" s="1"/>
  <c r="B44" s="1"/>
  <c r="B45" s="1"/>
  <c r="B46" s="1"/>
  <c r="B47" s="1"/>
  <c r="B48" s="1"/>
  <c r="N134" i="11"/>
  <c r="I134" s="1"/>
  <c r="I320" i="58" s="1"/>
  <c r="J320" s="1"/>
  <c r="K321" s="1"/>
  <c r="N328"/>
  <c r="K328"/>
  <c r="N327"/>
  <c r="N326"/>
  <c r="I325"/>
  <c r="J325" s="1"/>
  <c r="N325" s="1"/>
  <c r="I324"/>
  <c r="J324" s="1"/>
  <c r="N324" s="1"/>
  <c r="I323"/>
  <c r="J323" s="1"/>
  <c r="N323" s="1"/>
  <c r="I322"/>
  <c r="J322" s="1"/>
  <c r="N321"/>
  <c r="L320"/>
  <c r="O315"/>
  <c r="I1797"/>
  <c r="J1797" s="1"/>
  <c r="N1805"/>
  <c r="K1805"/>
  <c r="N1804"/>
  <c r="N1803"/>
  <c r="N1802"/>
  <c r="N1801"/>
  <c r="I1800"/>
  <c r="J1800" s="1"/>
  <c r="N1800" s="1"/>
  <c r="I1799"/>
  <c r="J1799" s="1"/>
  <c r="N1798"/>
  <c r="O1792"/>
  <c r="I1815"/>
  <c r="I1779"/>
  <c r="I1761"/>
  <c r="N320" l="1"/>
  <c r="K326"/>
  <c r="K329" s="1"/>
  <c r="N322"/>
  <c r="K1798"/>
  <c r="N1797"/>
  <c r="N1799"/>
  <c r="K1801"/>
  <c r="N1824"/>
  <c r="K1824"/>
  <c r="N1823"/>
  <c r="N1822"/>
  <c r="N1821"/>
  <c r="N1820"/>
  <c r="I1819"/>
  <c r="J1819" s="1"/>
  <c r="N1819" s="1"/>
  <c r="I1818"/>
  <c r="J1818" s="1"/>
  <c r="N1817"/>
  <c r="J1815"/>
  <c r="O1810"/>
  <c r="I1834"/>
  <c r="J1834" s="1"/>
  <c r="N1834" s="1"/>
  <c r="N1842"/>
  <c r="K1842"/>
  <c r="N1841"/>
  <c r="N1840"/>
  <c r="N1839"/>
  <c r="N1838"/>
  <c r="I1837"/>
  <c r="J1837" s="1"/>
  <c r="N1837" s="1"/>
  <c r="I1836"/>
  <c r="J1836" s="1"/>
  <c r="N1835"/>
  <c r="O1829"/>
  <c r="J139" i="59"/>
  <c r="J138"/>
  <c r="R1957" i="58"/>
  <c r="P1957"/>
  <c r="Q1957" s="1"/>
  <c r="J32" i="67"/>
  <c r="I32"/>
  <c r="N329" i="58" l="1"/>
  <c r="L329" s="1"/>
  <c r="Q315" s="1"/>
  <c r="N1806"/>
  <c r="R1792" s="1"/>
  <c r="K1820"/>
  <c r="K1806"/>
  <c r="K1817"/>
  <c r="N1815"/>
  <c r="N1818"/>
  <c r="R1958"/>
  <c r="N1836"/>
  <c r="N1843" s="1"/>
  <c r="K1838"/>
  <c r="K1835"/>
  <c r="B110" i="69"/>
  <c r="J117" i="59"/>
  <c r="I736" i="58"/>
  <c r="P736"/>
  <c r="S805"/>
  <c r="B111" i="69" l="1"/>
  <c r="B190" i="71" s="1"/>
  <c r="B189"/>
  <c r="L1806" i="58"/>
  <c r="Q1792" s="1"/>
  <c r="R315"/>
  <c r="K1825"/>
  <c r="N1825"/>
  <c r="R1810" s="1"/>
  <c r="R1829"/>
  <c r="K1843"/>
  <c r="L1843" s="1"/>
  <c r="Q1829" s="1"/>
  <c r="B112" i="69" l="1"/>
  <c r="B191" i="71" s="1"/>
  <c r="L1825" i="58"/>
  <c r="Q1810" s="1"/>
  <c r="Q799" l="1"/>
  <c r="P799"/>
  <c r="P800"/>
  <c r="R800" s="1"/>
  <c r="T800" s="1"/>
  <c r="H800" s="1"/>
  <c r="Q804"/>
  <c r="I805"/>
  <c r="J805" s="1"/>
  <c r="I801"/>
  <c r="J801" s="1"/>
  <c r="N801" s="1"/>
  <c r="I800"/>
  <c r="I799"/>
  <c r="J799" s="1"/>
  <c r="T65" i="11"/>
  <c r="S65"/>
  <c r="R65"/>
  <c r="T100"/>
  <c r="S100"/>
  <c r="R100"/>
  <c r="N810" i="58"/>
  <c r="K810"/>
  <c r="N809"/>
  <c r="N808"/>
  <c r="I807"/>
  <c r="J807" s="1"/>
  <c r="N807" s="1"/>
  <c r="I806"/>
  <c r="J806" s="1"/>
  <c r="N806" s="1"/>
  <c r="I804"/>
  <c r="J804" s="1"/>
  <c r="N803"/>
  <c r="O794"/>
  <c r="Q780"/>
  <c r="I778"/>
  <c r="J778" s="1"/>
  <c r="N778" s="1"/>
  <c r="P778"/>
  <c r="Q778"/>
  <c r="N789"/>
  <c r="K789"/>
  <c r="N788"/>
  <c r="N787"/>
  <c r="I786"/>
  <c r="J786" s="1"/>
  <c r="N786" s="1"/>
  <c r="I785"/>
  <c r="J785" s="1"/>
  <c r="N785" s="1"/>
  <c r="I784"/>
  <c r="J784" s="1"/>
  <c r="N784" s="1"/>
  <c r="I783"/>
  <c r="J783" s="1"/>
  <c r="N782"/>
  <c r="I780"/>
  <c r="J780" s="1"/>
  <c r="N780" s="1"/>
  <c r="I779"/>
  <c r="J779" s="1"/>
  <c r="I777"/>
  <c r="J777" s="1"/>
  <c r="O772"/>
  <c r="W178" i="71"/>
  <c r="W180" s="1"/>
  <c r="R358" i="58"/>
  <c r="T358" s="1"/>
  <c r="R361"/>
  <c r="T361" s="1"/>
  <c r="Q360"/>
  <c r="Q357"/>
  <c r="Q378"/>
  <c r="M131" i="11"/>
  <c r="M130"/>
  <c r="J137" i="59"/>
  <c r="J129"/>
  <c r="H529" i="58"/>
  <c r="H532"/>
  <c r="S125" i="71"/>
  <c r="I1382" i="58"/>
  <c r="I1383" s="1"/>
  <c r="J1383" s="1"/>
  <c r="N1383" s="1"/>
  <c r="T119" i="11"/>
  <c r="S119"/>
  <c r="R119"/>
  <c r="N1391" i="58"/>
  <c r="K1391"/>
  <c r="N1390"/>
  <c r="N1389"/>
  <c r="I1388"/>
  <c r="J1388" s="1"/>
  <c r="N1388" s="1"/>
  <c r="I1387"/>
  <c r="J1387" s="1"/>
  <c r="N1387" s="1"/>
  <c r="I1386"/>
  <c r="J1386" s="1"/>
  <c r="N1386" s="1"/>
  <c r="I1385"/>
  <c r="J1385" s="1"/>
  <c r="N1385" s="1"/>
  <c r="N1384"/>
  <c r="L1382"/>
  <c r="O1377"/>
  <c r="I1210"/>
  <c r="J1210" s="1"/>
  <c r="T59" i="11"/>
  <c r="S59"/>
  <c r="R59"/>
  <c r="N1218" i="58"/>
  <c r="K1218"/>
  <c r="N1217"/>
  <c r="N1216"/>
  <c r="I1215"/>
  <c r="J1215" s="1"/>
  <c r="N1215" s="1"/>
  <c r="I1214"/>
  <c r="J1214" s="1"/>
  <c r="N1214" s="1"/>
  <c r="I1213"/>
  <c r="J1213" s="1"/>
  <c r="N1213" s="1"/>
  <c r="I1212"/>
  <c r="J1212" s="1"/>
  <c r="N1211"/>
  <c r="O1205"/>
  <c r="J800" l="1"/>
  <c r="N800" s="1"/>
  <c r="R799"/>
  <c r="T799" s="1"/>
  <c r="N805"/>
  <c r="K808"/>
  <c r="I781"/>
  <c r="J781" s="1"/>
  <c r="N781" s="1"/>
  <c r="R778"/>
  <c r="T778" s="1"/>
  <c r="R360"/>
  <c r="N804"/>
  <c r="K787"/>
  <c r="N783"/>
  <c r="R357"/>
  <c r="K1389"/>
  <c r="J1382"/>
  <c r="K1216"/>
  <c r="N1210"/>
  <c r="K1211"/>
  <c r="N1212"/>
  <c r="I802" l="1"/>
  <c r="J802" s="1"/>
  <c r="K803" s="1"/>
  <c r="K811" s="1"/>
  <c r="P808" s="1"/>
  <c r="R780"/>
  <c r="K782"/>
  <c r="K790" s="1"/>
  <c r="N1219"/>
  <c r="R1205" s="1"/>
  <c r="N1382"/>
  <c r="N1392" s="1"/>
  <c r="K1384"/>
  <c r="K1392" s="1"/>
  <c r="K1219"/>
  <c r="Z113" i="71"/>
  <c r="AA113" s="1"/>
  <c r="K113" s="1"/>
  <c r="S113" s="1"/>
  <c r="J134" i="59"/>
  <c r="S52" i="71"/>
  <c r="S54" s="1"/>
  <c r="K55" s="1"/>
  <c r="S94"/>
  <c r="S96" s="1"/>
  <c r="H508" i="58"/>
  <c r="H483"/>
  <c r="H462"/>
  <c r="J133" i="59"/>
  <c r="N802" i="58" l="1"/>
  <c r="L1392"/>
  <c r="Q1377" s="1"/>
  <c r="R1377"/>
  <c r="L1219"/>
  <c r="Q1205" s="1"/>
  <c r="AC113" i="71"/>
  <c r="T96"/>
  <c r="G47" i="69" s="1"/>
  <c r="J135" i="59" l="1"/>
  <c r="B152" i="71" l="1"/>
  <c r="C152"/>
  <c r="B153" l="1"/>
  <c r="B78" i="69"/>
  <c r="I115" i="71"/>
  <c r="S115" s="1"/>
  <c r="I905" i="58"/>
  <c r="J905" s="1"/>
  <c r="N916"/>
  <c r="K916"/>
  <c r="N915"/>
  <c r="N914"/>
  <c r="I913"/>
  <c r="J913" s="1"/>
  <c r="N913" s="1"/>
  <c r="I912"/>
  <c r="J912" s="1"/>
  <c r="N912" s="1"/>
  <c r="I911"/>
  <c r="J911" s="1"/>
  <c r="N911" s="1"/>
  <c r="I910"/>
  <c r="J910" s="1"/>
  <c r="N909"/>
  <c r="I908"/>
  <c r="J908" s="1"/>
  <c r="N908" s="1"/>
  <c r="P907"/>
  <c r="P908" s="1"/>
  <c r="I907"/>
  <c r="J907" s="1"/>
  <c r="N907" s="1"/>
  <c r="V906"/>
  <c r="P906"/>
  <c r="L906"/>
  <c r="I906"/>
  <c r="J906" s="1"/>
  <c r="P905"/>
  <c r="O899"/>
  <c r="B79" i="69" l="1"/>
  <c r="B80" s="1"/>
  <c r="B154" i="71"/>
  <c r="N906" i="58"/>
  <c r="P909"/>
  <c r="P910" s="1"/>
  <c r="K909"/>
  <c r="K914"/>
  <c r="N910"/>
  <c r="N905"/>
  <c r="B81" i="69" l="1"/>
  <c r="B156" i="71"/>
  <c r="K917" i="58"/>
  <c r="N917"/>
  <c r="B82" i="69" l="1"/>
  <c r="B157" i="71"/>
  <c r="L917" i="58"/>
  <c r="Q899" s="1"/>
  <c r="R899"/>
  <c r="S88" i="71"/>
  <c r="S87"/>
  <c r="B83" i="69" l="1"/>
  <c r="B158" i="71"/>
  <c r="T87"/>
  <c r="G46" i="69" s="1"/>
  <c r="O1951" i="58"/>
  <c r="I1960"/>
  <c r="J1960" s="1"/>
  <c r="N1960" s="1"/>
  <c r="I1961"/>
  <c r="J1961" s="1"/>
  <c r="N1961" s="1"/>
  <c r="I1966"/>
  <c r="J1966" s="1"/>
  <c r="N1966" s="1"/>
  <c r="I1965"/>
  <c r="J1965" s="1"/>
  <c r="N1965" s="1"/>
  <c r="I1964"/>
  <c r="J1964" s="1"/>
  <c r="N1964" s="1"/>
  <c r="I1963"/>
  <c r="J1963" s="1"/>
  <c r="J1970"/>
  <c r="N1970" s="1"/>
  <c r="J1969"/>
  <c r="N1969" s="1"/>
  <c r="J1968"/>
  <c r="J1959"/>
  <c r="N1959" s="1"/>
  <c r="J1958"/>
  <c r="N1958" s="1"/>
  <c r="J1957"/>
  <c r="N1957" s="1"/>
  <c r="L1951"/>
  <c r="B84" i="69" l="1"/>
  <c r="B159" i="71"/>
  <c r="K1971" i="58"/>
  <c r="K1967"/>
  <c r="N1963"/>
  <c r="N1968"/>
  <c r="K1962"/>
  <c r="B85" i="69" l="1"/>
  <c r="B160" i="71"/>
  <c r="K1972" i="58"/>
  <c r="K1973" s="1"/>
  <c r="K1974" s="1"/>
  <c r="P1951" s="1"/>
  <c r="N1972"/>
  <c r="R1951" s="1"/>
  <c r="B86" i="69" l="1"/>
  <c r="B161" i="71"/>
  <c r="L1972" i="58"/>
  <c r="Q1951" s="1"/>
  <c r="B87" i="69" l="1"/>
  <c r="B162" i="71"/>
  <c r="G111" i="69"/>
  <c r="I132" i="71"/>
  <c r="S126"/>
  <c r="T124" s="1"/>
  <c r="Z120"/>
  <c r="AA120" s="1"/>
  <c r="K120" s="1"/>
  <c r="S120" s="1"/>
  <c r="Z119"/>
  <c r="AA119" s="1"/>
  <c r="Z112"/>
  <c r="AA112" s="1"/>
  <c r="T110"/>
  <c r="G59" i="69" s="1"/>
  <c r="Z107" i="71"/>
  <c r="AA107" s="1"/>
  <c r="Z106"/>
  <c r="AA106" s="1"/>
  <c r="K106" s="1"/>
  <c r="S106" s="1"/>
  <c r="S98"/>
  <c r="T98" s="1"/>
  <c r="G48" i="69" s="1"/>
  <c r="G44"/>
  <c r="S24" i="71"/>
  <c r="S28"/>
  <c r="T28" s="1"/>
  <c r="G39" i="69" s="1"/>
  <c r="B14" i="71"/>
  <c r="B20"/>
  <c r="C20"/>
  <c r="B21"/>
  <c r="B27"/>
  <c r="C27"/>
  <c r="B28"/>
  <c r="B100"/>
  <c r="C100"/>
  <c r="B102"/>
  <c r="C109"/>
  <c r="C116"/>
  <c r="C123"/>
  <c r="B101" i="69"/>
  <c r="B123"/>
  <c r="T24" i="71" l="1"/>
  <c r="G35" i="69" s="1"/>
  <c r="W124" i="71"/>
  <c r="G67" i="69"/>
  <c r="B88"/>
  <c r="B164" i="71" s="1"/>
  <c r="B163"/>
  <c r="B124" i="69"/>
  <c r="B201" i="71"/>
  <c r="B102" i="69"/>
  <c r="B180" i="71"/>
  <c r="S132"/>
  <c r="T132" s="1"/>
  <c r="G69" i="69" s="1"/>
  <c r="K107" i="71"/>
  <c r="S107" s="1"/>
  <c r="T106" s="1"/>
  <c r="G56" i="69" s="1"/>
  <c r="AC119" i="71"/>
  <c r="K119"/>
  <c r="S119" s="1"/>
  <c r="S121" s="1"/>
  <c r="T119" s="1"/>
  <c r="AC112"/>
  <c r="K112"/>
  <c r="AC107"/>
  <c r="T21"/>
  <c r="T102"/>
  <c r="G53" i="69" s="1"/>
  <c r="T115" i="71"/>
  <c r="G61" i="69" s="1"/>
  <c r="AC120" i="71"/>
  <c r="AC106"/>
  <c r="B125" i="69" l="1"/>
  <c r="B203" i="71" s="1"/>
  <c r="B202"/>
  <c r="B103" i="69"/>
  <c r="B181" i="71"/>
  <c r="I22"/>
  <c r="S22" s="1"/>
  <c r="T22" s="1"/>
  <c r="G33" i="69" s="1"/>
  <c r="G32"/>
  <c r="T104" i="71"/>
  <c r="G55" i="69" s="1"/>
  <c r="T108" i="71"/>
  <c r="G57" i="69" s="1"/>
  <c r="T122" i="71"/>
  <c r="S112"/>
  <c r="S114" s="1"/>
  <c r="T112" s="1"/>
  <c r="W117" l="1"/>
  <c r="G65" i="69"/>
  <c r="B104"/>
  <c r="B183" i="71" s="1"/>
  <c r="B182"/>
  <c r="W110"/>
  <c r="G60" i="69"/>
  <c r="I50" i="71"/>
  <c r="S50" s="1"/>
  <c r="S51" s="1"/>
  <c r="I55" s="1"/>
  <c r="G40" i="69"/>
  <c r="W104" i="71"/>
  <c r="I927" i="58"/>
  <c r="T55" i="71" l="1"/>
  <c r="B105" i="69"/>
  <c r="G64"/>
  <c r="I579" i="58"/>
  <c r="I1875"/>
  <c r="J1875" s="1"/>
  <c r="N1875" s="1"/>
  <c r="I1874"/>
  <c r="J1874" s="1"/>
  <c r="N1874" s="1"/>
  <c r="I1873"/>
  <c r="J1873" s="1"/>
  <c r="N1873" s="1"/>
  <c r="L1872"/>
  <c r="I1872"/>
  <c r="J1872" s="1"/>
  <c r="I1871"/>
  <c r="J1871" s="1"/>
  <c r="N1884"/>
  <c r="K1884"/>
  <c r="N1883"/>
  <c r="N1882"/>
  <c r="I1881"/>
  <c r="J1881" s="1"/>
  <c r="N1881" s="1"/>
  <c r="I1880"/>
  <c r="J1880" s="1"/>
  <c r="N1880" s="1"/>
  <c r="I1879"/>
  <c r="J1879" s="1"/>
  <c r="N1879" s="1"/>
  <c r="I1878"/>
  <c r="J1878" s="1"/>
  <c r="N1877"/>
  <c r="O1866"/>
  <c r="J128" i="59"/>
  <c r="G41" i="69" l="1"/>
  <c r="S57" i="71"/>
  <c r="T57" s="1"/>
  <c r="I201" s="1"/>
  <c r="I202" s="1"/>
  <c r="B184"/>
  <c r="B106" i="69"/>
  <c r="N1872" i="58"/>
  <c r="J579"/>
  <c r="N579" s="1"/>
  <c r="K1877"/>
  <c r="K1882"/>
  <c r="N1871"/>
  <c r="N1878"/>
  <c r="G42" i="69" l="1"/>
  <c r="B185" i="71"/>
  <c r="S201"/>
  <c r="T201" s="1"/>
  <c r="S202"/>
  <c r="N1885" i="58"/>
  <c r="R1866" s="1"/>
  <c r="K1885"/>
  <c r="T202" i="71" l="1"/>
  <c r="G124" i="69" s="1"/>
  <c r="G123"/>
  <c r="L1885" i="58"/>
  <c r="Q1866" s="1"/>
  <c r="I714" l="1"/>
  <c r="I637"/>
  <c r="J637" s="1"/>
  <c r="N646"/>
  <c r="K646"/>
  <c r="N645"/>
  <c r="N644"/>
  <c r="I643"/>
  <c r="J643" s="1"/>
  <c r="N643" s="1"/>
  <c r="I642"/>
  <c r="J642" s="1"/>
  <c r="N642" s="1"/>
  <c r="I641"/>
  <c r="J641" s="1"/>
  <c r="N641" s="1"/>
  <c r="I640"/>
  <c r="J640" s="1"/>
  <c r="N639"/>
  <c r="I638"/>
  <c r="J638" s="1"/>
  <c r="N638" s="1"/>
  <c r="O632"/>
  <c r="K639" l="1"/>
  <c r="K644"/>
  <c r="N637"/>
  <c r="N640"/>
  <c r="N647" l="1"/>
  <c r="R632" s="1"/>
  <c r="K647"/>
  <c r="L647" l="1"/>
  <c r="Q632" s="1"/>
  <c r="O2" i="64" l="1"/>
  <c r="O4"/>
  <c r="P4"/>
  <c r="N2"/>
  <c r="N4" s="1"/>
  <c r="N6" s="1"/>
  <c r="N7" s="1"/>
  <c r="I842" i="58" l="1"/>
  <c r="J842" s="1"/>
  <c r="N850"/>
  <c r="K850"/>
  <c r="N849"/>
  <c r="N848"/>
  <c r="I847"/>
  <c r="J847" s="1"/>
  <c r="N847" s="1"/>
  <c r="I846"/>
  <c r="J846" s="1"/>
  <c r="N846" s="1"/>
  <c r="I845"/>
  <c r="J845" s="1"/>
  <c r="N845" s="1"/>
  <c r="I844"/>
  <c r="J844" s="1"/>
  <c r="N843"/>
  <c r="O837"/>
  <c r="K848" l="1"/>
  <c r="K843"/>
  <c r="N844"/>
  <c r="B155" i="71" l="1"/>
  <c r="K851" i="58"/>
  <c r="H62" l="1"/>
  <c r="F62"/>
  <c r="N60"/>
  <c r="K60"/>
  <c r="N59"/>
  <c r="N58"/>
  <c r="I57"/>
  <c r="J57" s="1"/>
  <c r="N57" s="1"/>
  <c r="I56"/>
  <c r="J56" s="1"/>
  <c r="O51"/>
  <c r="K58" l="1"/>
  <c r="K61" s="1"/>
  <c r="N56"/>
  <c r="N61" s="1"/>
  <c r="R51" l="1"/>
  <c r="L61"/>
  <c r="Q51" s="1"/>
  <c r="K62"/>
  <c r="K63" s="1"/>
  <c r="P51" s="1"/>
  <c r="I1053" l="1"/>
  <c r="I914" i="11"/>
  <c r="J132" i="59" l="1"/>
  <c r="J131" l="1"/>
  <c r="I1936" i="58"/>
  <c r="J1936" s="1"/>
  <c r="N1946"/>
  <c r="K1946"/>
  <c r="N1945"/>
  <c r="N1944"/>
  <c r="I1943"/>
  <c r="J1943" s="1"/>
  <c r="N1943" s="1"/>
  <c r="I1942"/>
  <c r="J1942" s="1"/>
  <c r="N1942" s="1"/>
  <c r="I1941"/>
  <c r="J1941" s="1"/>
  <c r="N1941" s="1"/>
  <c r="I1940"/>
  <c r="J1940" s="1"/>
  <c r="N1939"/>
  <c r="I1938"/>
  <c r="J1938" s="1"/>
  <c r="N1938" s="1"/>
  <c r="L1937"/>
  <c r="I1937"/>
  <c r="J1937" s="1"/>
  <c r="O1931"/>
  <c r="I1916"/>
  <c r="J1916" s="1"/>
  <c r="N1926"/>
  <c r="K1926"/>
  <c r="N1925"/>
  <c r="N1924"/>
  <c r="I1923"/>
  <c r="J1923" s="1"/>
  <c r="N1923" s="1"/>
  <c r="I1922"/>
  <c r="J1922" s="1"/>
  <c r="N1922" s="1"/>
  <c r="I1921"/>
  <c r="J1921" s="1"/>
  <c r="N1921" s="1"/>
  <c r="I1920"/>
  <c r="J1920" s="1"/>
  <c r="N1919"/>
  <c r="I1918"/>
  <c r="J1918" s="1"/>
  <c r="N1918" s="1"/>
  <c r="L1917"/>
  <c r="I1917"/>
  <c r="J1917" s="1"/>
  <c r="O1911"/>
  <c r="K1939" l="1"/>
  <c r="N1937"/>
  <c r="K1944"/>
  <c r="N1936"/>
  <c r="N1940"/>
  <c r="K1919"/>
  <c r="N1917"/>
  <c r="K1924"/>
  <c r="N1916"/>
  <c r="N1920"/>
  <c r="K1947" l="1"/>
  <c r="N1947"/>
  <c r="N1927"/>
  <c r="R1911" s="1"/>
  <c r="K1927"/>
  <c r="L1947" l="1"/>
  <c r="Q1931" s="1"/>
  <c r="R1931"/>
  <c r="L1927"/>
  <c r="Q1911" s="1"/>
  <c r="J136" i="59" l="1"/>
  <c r="C13" i="71" l="1"/>
  <c r="B13"/>
  <c r="G5"/>
  <c r="G6"/>
  <c r="G7"/>
  <c r="G8"/>
  <c r="G4"/>
  <c r="C5"/>
  <c r="C6"/>
  <c r="C7"/>
  <c r="C8"/>
  <c r="C4"/>
  <c r="S16"/>
  <c r="T16" s="1"/>
  <c r="G28" i="69" s="1"/>
  <c r="S15" i="71"/>
  <c r="T15" s="1"/>
  <c r="G27" i="69" s="1"/>
  <c r="S14" i="71"/>
  <c r="T14" s="1"/>
  <c r="G26" i="69" s="1"/>
  <c r="O1890" i="58" l="1"/>
  <c r="I1897"/>
  <c r="J1897" s="1"/>
  <c r="N1897" s="1"/>
  <c r="I1898"/>
  <c r="J1898" s="1"/>
  <c r="N1898" s="1"/>
  <c r="I1903"/>
  <c r="J1903" s="1"/>
  <c r="N1903" s="1"/>
  <c r="I1902"/>
  <c r="J1902" s="1"/>
  <c r="N1902" s="1"/>
  <c r="I1901"/>
  <c r="J1901" s="1"/>
  <c r="N1901" s="1"/>
  <c r="I1900"/>
  <c r="J1900" s="1"/>
  <c r="N1900" s="1"/>
  <c r="K1906"/>
  <c r="J1896"/>
  <c r="N1896" s="1"/>
  <c r="N1907" l="1"/>
  <c r="R1890" s="1"/>
  <c r="K1899"/>
  <c r="K1904"/>
  <c r="K1907" l="1"/>
  <c r="K1908" l="1"/>
  <c r="K1909" s="1"/>
  <c r="P1890" s="1"/>
  <c r="L1907"/>
  <c r="Q1890" s="1"/>
  <c r="B33" i="69" l="1"/>
  <c r="B22" i="71" l="1"/>
  <c r="D133" i="69"/>
  <c r="B8" i="11"/>
  <c r="B7"/>
  <c r="B6"/>
  <c r="B5"/>
  <c r="B4"/>
  <c r="K36" i="70"/>
  <c r="K35"/>
  <c r="K29"/>
  <c r="K28"/>
  <c r="K27"/>
  <c r="H151" i="59"/>
  <c r="H150"/>
  <c r="H144"/>
  <c r="H143"/>
  <c r="H142"/>
  <c r="K1994" i="58"/>
  <c r="K1995"/>
  <c r="K1996"/>
  <c r="K2002"/>
  <c r="K2003"/>
  <c r="H165" i="11"/>
  <c r="H164"/>
  <c r="H158"/>
  <c r="H157"/>
  <c r="H156"/>
  <c r="B24" i="71" l="1"/>
  <c r="L1497" i="58"/>
  <c r="L1476"/>
  <c r="L694"/>
  <c r="P1641" l="1"/>
  <c r="Q1641" s="1"/>
  <c r="N22" i="69" l="1"/>
  <c r="B16" i="11" l="1"/>
  <c r="J23" i="67" l="1"/>
  <c r="F48" i="58" l="1"/>
  <c r="H48"/>
  <c r="R101" i="11"/>
  <c r="S101"/>
  <c r="T101"/>
  <c r="R76"/>
  <c r="S76"/>
  <c r="T76"/>
  <c r="H685" i="58" l="1"/>
  <c r="H1753"/>
  <c r="F685"/>
  <c r="K685" s="1"/>
  <c r="K686" s="1"/>
  <c r="P670" s="1"/>
  <c r="F1753"/>
  <c r="H1807"/>
  <c r="H330"/>
  <c r="F1807"/>
  <c r="F330"/>
  <c r="H1844"/>
  <c r="H1826"/>
  <c r="F1844"/>
  <c r="F1826"/>
  <c r="F791"/>
  <c r="F812"/>
  <c r="H791"/>
  <c r="H812"/>
  <c r="H1220"/>
  <c r="H1393"/>
  <c r="F1220"/>
  <c r="F1393"/>
  <c r="F1886"/>
  <c r="F918"/>
  <c r="H1886"/>
  <c r="H918"/>
  <c r="F852"/>
  <c r="F648"/>
  <c r="H852"/>
  <c r="H648"/>
  <c r="H1928"/>
  <c r="H1948"/>
  <c r="F1928"/>
  <c r="F1948"/>
  <c r="F1991"/>
  <c r="F1771"/>
  <c r="F1720"/>
  <c r="F1686"/>
  <c r="F1652"/>
  <c r="F1612"/>
  <c r="F1571"/>
  <c r="F1527"/>
  <c r="F1487"/>
  <c r="F1450"/>
  <c r="F1412"/>
  <c r="F1355"/>
  <c r="F1317"/>
  <c r="F1278"/>
  <c r="F1239"/>
  <c r="F1184"/>
  <c r="F1142"/>
  <c r="F1104"/>
  <c r="F1066"/>
  <c r="F1024"/>
  <c r="F982"/>
  <c r="F940"/>
  <c r="F874"/>
  <c r="F769"/>
  <c r="F726"/>
  <c r="F667"/>
  <c r="F610"/>
  <c r="F569"/>
  <c r="F520"/>
  <c r="F474"/>
  <c r="F433"/>
  <c r="F391"/>
  <c r="F349"/>
  <c r="F294"/>
  <c r="F235"/>
  <c r="F194"/>
  <c r="F154"/>
  <c r="F122"/>
  <c r="F92"/>
  <c r="F1863"/>
  <c r="F1789"/>
  <c r="F1738"/>
  <c r="F1703"/>
  <c r="F1669"/>
  <c r="F1632"/>
  <c r="F1592"/>
  <c r="F1551"/>
  <c r="F1507"/>
  <c r="F1468"/>
  <c r="F1431"/>
  <c r="F1374"/>
  <c r="F1336"/>
  <c r="F1298"/>
  <c r="F1258"/>
  <c r="F1202"/>
  <c r="F1162"/>
  <c r="F1122"/>
  <c r="F1085"/>
  <c r="F1045"/>
  <c r="F1003"/>
  <c r="F961"/>
  <c r="F896"/>
  <c r="F834"/>
  <c r="F747"/>
  <c r="F706"/>
  <c r="F629"/>
  <c r="F590"/>
  <c r="F545"/>
  <c r="F495"/>
  <c r="F452"/>
  <c r="F412"/>
  <c r="F370"/>
  <c r="F312"/>
  <c r="F255"/>
  <c r="F215"/>
  <c r="F174"/>
  <c r="F138"/>
  <c r="F108"/>
  <c r="H1991"/>
  <c r="H1771"/>
  <c r="H1720"/>
  <c r="H1686"/>
  <c r="H1652"/>
  <c r="H1612"/>
  <c r="H1571"/>
  <c r="H1527"/>
  <c r="H1487"/>
  <c r="H1450"/>
  <c r="H1412"/>
  <c r="H1355"/>
  <c r="H1317"/>
  <c r="H1278"/>
  <c r="H1239"/>
  <c r="H1184"/>
  <c r="H1142"/>
  <c r="H1104"/>
  <c r="H1066"/>
  <c r="H1024"/>
  <c r="H982"/>
  <c r="H940"/>
  <c r="H874"/>
  <c r="H769"/>
  <c r="H726"/>
  <c r="H667"/>
  <c r="H610"/>
  <c r="H569"/>
  <c r="H520"/>
  <c r="H474"/>
  <c r="H433"/>
  <c r="H391"/>
  <c r="H349"/>
  <c r="H294"/>
  <c r="H235"/>
  <c r="H194"/>
  <c r="H154"/>
  <c r="H122"/>
  <c r="H92"/>
  <c r="H1863"/>
  <c r="H1789"/>
  <c r="H1738"/>
  <c r="H1703"/>
  <c r="H1669"/>
  <c r="H1632"/>
  <c r="H1592"/>
  <c r="H1551"/>
  <c r="H1507"/>
  <c r="H1468"/>
  <c r="H1431"/>
  <c r="H1374"/>
  <c r="H1336"/>
  <c r="H1298"/>
  <c r="H1258"/>
  <c r="H1202"/>
  <c r="H1162"/>
  <c r="H1122"/>
  <c r="H1085"/>
  <c r="H1045"/>
  <c r="H1003"/>
  <c r="H961"/>
  <c r="H896"/>
  <c r="H834"/>
  <c r="H747"/>
  <c r="H706"/>
  <c r="H629"/>
  <c r="H590"/>
  <c r="H545"/>
  <c r="H495"/>
  <c r="H452"/>
  <c r="H412"/>
  <c r="H370"/>
  <c r="H312"/>
  <c r="H255"/>
  <c r="H215"/>
  <c r="H174"/>
  <c r="H138"/>
  <c r="H108"/>
  <c r="B55" i="69"/>
  <c r="B104" i="71" s="1"/>
  <c r="K1807" i="58" l="1"/>
  <c r="K1808" s="1"/>
  <c r="P1792" s="1"/>
  <c r="K1753"/>
  <c r="K1754" s="1"/>
  <c r="P1741" s="1"/>
  <c r="K1844"/>
  <c r="K1845" s="1"/>
  <c r="P1829" s="1"/>
  <c r="K330"/>
  <c r="K331" s="1"/>
  <c r="P315" s="1"/>
  <c r="K1826"/>
  <c r="K1827" s="1"/>
  <c r="P1810" s="1"/>
  <c r="K791"/>
  <c r="K792" s="1"/>
  <c r="P772" s="1"/>
  <c r="K812"/>
  <c r="K813" s="1"/>
  <c r="K1220"/>
  <c r="K1221" s="1"/>
  <c r="P1205" s="1"/>
  <c r="K1928"/>
  <c r="K1929" s="1"/>
  <c r="P1911" s="1"/>
  <c r="K1886"/>
  <c r="K1887" s="1"/>
  <c r="P1866" s="1"/>
  <c r="K1393"/>
  <c r="K1394" s="1"/>
  <c r="P1377" s="1"/>
  <c r="K852"/>
  <c r="K853" s="1"/>
  <c r="P837" s="1"/>
  <c r="K1948"/>
  <c r="K1949" s="1"/>
  <c r="P1931" s="1"/>
  <c r="K918"/>
  <c r="K919" s="1"/>
  <c r="P899" s="1"/>
  <c r="K648"/>
  <c r="K649" s="1"/>
  <c r="P632" s="1"/>
  <c r="B56" i="69"/>
  <c r="B106" i="71" s="1"/>
  <c r="I821" i="58"/>
  <c r="J821" s="1"/>
  <c r="N821" s="1"/>
  <c r="I756"/>
  <c r="J756" s="1"/>
  <c r="N756" s="1"/>
  <c r="I1401"/>
  <c r="P794" l="1"/>
  <c r="R804"/>
  <c r="B57" i="69"/>
  <c r="B108" i="71" s="1"/>
  <c r="Q1517" i="58"/>
  <c r="Q1518"/>
  <c r="Q1521" s="1"/>
  <c r="I1516"/>
  <c r="Q1519" l="1"/>
  <c r="B27" i="69" l="1"/>
  <c r="B15" i="71" s="1"/>
  <c r="T126" i="11"/>
  <c r="S126"/>
  <c r="R126"/>
  <c r="I820" i="58"/>
  <c r="B28" i="69" l="1"/>
  <c r="B16" i="71" s="1"/>
  <c r="J140" i="59"/>
  <c r="J130"/>
  <c r="J127"/>
  <c r="J126"/>
  <c r="J125"/>
  <c r="J121"/>
  <c r="J120"/>
  <c r="J119"/>
  <c r="J118"/>
  <c r="J116"/>
  <c r="J115"/>
  <c r="J113"/>
  <c r="I1559" i="58"/>
  <c r="R78" i="11"/>
  <c r="S78"/>
  <c r="T78"/>
  <c r="R71"/>
  <c r="S71"/>
  <c r="T71"/>
  <c r="R48"/>
  <c r="S48"/>
  <c r="T48"/>
  <c r="R49"/>
  <c r="S49"/>
  <c r="T49"/>
  <c r="R46"/>
  <c r="S46"/>
  <c r="T46"/>
  <c r="J1779" i="58"/>
  <c r="K1780" s="1"/>
  <c r="N1787" l="1"/>
  <c r="K1787"/>
  <c r="N1786"/>
  <c r="N1785"/>
  <c r="N1784"/>
  <c r="N1783"/>
  <c r="N1780"/>
  <c r="O1774"/>
  <c r="N1779" l="1"/>
  <c r="N1769" l="1"/>
  <c r="K1769"/>
  <c r="N1768"/>
  <c r="N1767"/>
  <c r="N1766"/>
  <c r="N1765"/>
  <c r="N1762"/>
  <c r="J1761"/>
  <c r="O1756"/>
  <c r="O55" i="67"/>
  <c r="O50"/>
  <c r="I1641" i="58"/>
  <c r="I1621"/>
  <c r="L1580"/>
  <c r="L1621" s="1"/>
  <c r="L1729" s="1"/>
  <c r="L1538"/>
  <c r="L1517"/>
  <c r="L1363"/>
  <c r="L1344"/>
  <c r="L1325"/>
  <c r="L1306"/>
  <c r="L1287"/>
  <c r="L1267"/>
  <c r="L1247"/>
  <c r="L969"/>
  <c r="L1173"/>
  <c r="L1151"/>
  <c r="L1094"/>
  <c r="L1054"/>
  <c r="L1033"/>
  <c r="L1012"/>
  <c r="L991"/>
  <c r="L970"/>
  <c r="L949"/>
  <c r="L928"/>
  <c r="L884"/>
  <c r="L420"/>
  <c r="L399"/>
  <c r="L378"/>
  <c r="L357"/>
  <c r="L302"/>
  <c r="L283"/>
  <c r="L263"/>
  <c r="L244"/>
  <c r="L224"/>
  <c r="L204"/>
  <c r="L1601" l="1"/>
  <c r="N1761"/>
  <c r="K1762"/>
  <c r="I1032"/>
  <c r="I1130"/>
  <c r="I1131" s="1"/>
  <c r="P462"/>
  <c r="I990"/>
  <c r="I860" l="1"/>
  <c r="J860" s="1"/>
  <c r="N872"/>
  <c r="K872"/>
  <c r="N871"/>
  <c r="N870"/>
  <c r="N869"/>
  <c r="N868"/>
  <c r="N863"/>
  <c r="P861"/>
  <c r="O855"/>
  <c r="H598"/>
  <c r="N608"/>
  <c r="K608"/>
  <c r="N607"/>
  <c r="N606"/>
  <c r="N601"/>
  <c r="L600"/>
  <c r="I600"/>
  <c r="J600" s="1"/>
  <c r="L599"/>
  <c r="O593"/>
  <c r="N1022"/>
  <c r="K1022"/>
  <c r="N1021"/>
  <c r="N1020"/>
  <c r="N1015"/>
  <c r="I1014"/>
  <c r="J1014" s="1"/>
  <c r="N1014" s="1"/>
  <c r="L1011"/>
  <c r="O1006"/>
  <c r="I70"/>
  <c r="J70" s="1"/>
  <c r="K71" s="1"/>
  <c r="N76"/>
  <c r="K76"/>
  <c r="N75"/>
  <c r="N74"/>
  <c r="N71"/>
  <c r="O65"/>
  <c r="I100"/>
  <c r="J100" s="1"/>
  <c r="N106"/>
  <c r="K106"/>
  <c r="N105"/>
  <c r="N104"/>
  <c r="N101"/>
  <c r="O95"/>
  <c r="N233"/>
  <c r="K233"/>
  <c r="N232"/>
  <c r="N231"/>
  <c r="N226"/>
  <c r="O218"/>
  <c r="I1541"/>
  <c r="J1541" s="1"/>
  <c r="N1541" s="1"/>
  <c r="I1540"/>
  <c r="J1540" s="1"/>
  <c r="N1540" s="1"/>
  <c r="I1539"/>
  <c r="J1539" s="1"/>
  <c r="N1539" s="1"/>
  <c r="I1538"/>
  <c r="J1538" s="1"/>
  <c r="N1538" s="1"/>
  <c r="I1537"/>
  <c r="J1537" s="1"/>
  <c r="N1537" s="1"/>
  <c r="I1535"/>
  <c r="J1535" s="1"/>
  <c r="N1549"/>
  <c r="K1549"/>
  <c r="N1548"/>
  <c r="N1547"/>
  <c r="N1542"/>
  <c r="P1542"/>
  <c r="O1530"/>
  <c r="N600" l="1"/>
  <c r="N860"/>
  <c r="N70"/>
  <c r="N100"/>
  <c r="K101"/>
  <c r="N1535"/>
  <c r="I1458" l="1"/>
  <c r="J1458" s="1"/>
  <c r="N1466"/>
  <c r="K1466"/>
  <c r="N1465"/>
  <c r="N1464"/>
  <c r="E1462"/>
  <c r="N1460"/>
  <c r="O1453"/>
  <c r="I1439"/>
  <c r="J1439" s="1"/>
  <c r="E1443"/>
  <c r="N1448"/>
  <c r="K1448"/>
  <c r="N1447"/>
  <c r="N1446"/>
  <c r="N1441"/>
  <c r="O1434"/>
  <c r="T27" i="11"/>
  <c r="S27"/>
  <c r="R27"/>
  <c r="N1237" i="58"/>
  <c r="K1237"/>
  <c r="N1236"/>
  <c r="N1235"/>
  <c r="N1230"/>
  <c r="O1223"/>
  <c r="J1729"/>
  <c r="J1731"/>
  <c r="I1730"/>
  <c r="J1730" s="1"/>
  <c r="I1728"/>
  <c r="I1986"/>
  <c r="I1985"/>
  <c r="I1984"/>
  <c r="N1989"/>
  <c r="K1989"/>
  <c r="N1988"/>
  <c r="N1987"/>
  <c r="O1976"/>
  <c r="I694"/>
  <c r="I693"/>
  <c r="N1458" l="1"/>
  <c r="N1439"/>
  <c r="I557" l="1"/>
  <c r="J557" s="1"/>
  <c r="N557" s="1"/>
  <c r="N559"/>
  <c r="N588"/>
  <c r="K588"/>
  <c r="N587"/>
  <c r="N586"/>
  <c r="N581"/>
  <c r="L580"/>
  <c r="I580"/>
  <c r="J580" s="1"/>
  <c r="L578"/>
  <c r="O572"/>
  <c r="N431"/>
  <c r="K431"/>
  <c r="N430"/>
  <c r="N429"/>
  <c r="N424"/>
  <c r="P423"/>
  <c r="V424" s="1"/>
  <c r="O415"/>
  <c r="N389"/>
  <c r="K389"/>
  <c r="N388"/>
  <c r="N387"/>
  <c r="N382"/>
  <c r="P381"/>
  <c r="V382" s="1"/>
  <c r="V379"/>
  <c r="V380" s="1"/>
  <c r="O373"/>
  <c r="I948"/>
  <c r="J948" s="1"/>
  <c r="P946"/>
  <c r="Q946" s="1"/>
  <c r="N959"/>
  <c r="K959"/>
  <c r="N958"/>
  <c r="N957"/>
  <c r="N952"/>
  <c r="I951"/>
  <c r="J951" s="1"/>
  <c r="N951" s="1"/>
  <c r="R948"/>
  <c r="P948"/>
  <c r="P947" s="1"/>
  <c r="O943"/>
  <c r="R969"/>
  <c r="I1477"/>
  <c r="V421"/>
  <c r="V422" s="1"/>
  <c r="I1536"/>
  <c r="I1228"/>
  <c r="I1012"/>
  <c r="J1012" s="1"/>
  <c r="N1012" s="1"/>
  <c r="I695"/>
  <c r="J695" s="1"/>
  <c r="N695" s="1"/>
  <c r="I969"/>
  <c r="I223"/>
  <c r="J223" s="1"/>
  <c r="I558"/>
  <c r="J558" s="1"/>
  <c r="N558" s="1"/>
  <c r="I1733"/>
  <c r="I1544"/>
  <c r="J1544" s="1"/>
  <c r="I1545"/>
  <c r="J1545" s="1"/>
  <c r="I1018"/>
  <c r="J1018" s="1"/>
  <c r="I862" l="1"/>
  <c r="J862" s="1"/>
  <c r="N862" s="1"/>
  <c r="I1782"/>
  <c r="J1782" s="1"/>
  <c r="I1764"/>
  <c r="J1764" s="1"/>
  <c r="I1763"/>
  <c r="J1763" s="1"/>
  <c r="I1781"/>
  <c r="J1781" s="1"/>
  <c r="I1462"/>
  <c r="J1462" s="1"/>
  <c r="N1462" s="1"/>
  <c r="I599"/>
  <c r="J599" s="1"/>
  <c r="N599" s="1"/>
  <c r="I861"/>
  <c r="J861" s="1"/>
  <c r="I225"/>
  <c r="J225" s="1"/>
  <c r="N225" s="1"/>
  <c r="I1013"/>
  <c r="J1013" s="1"/>
  <c r="N1013" s="1"/>
  <c r="I584"/>
  <c r="J584" s="1"/>
  <c r="I604"/>
  <c r="J604" s="1"/>
  <c r="I577"/>
  <c r="J577" s="1"/>
  <c r="N577" s="1"/>
  <c r="I598"/>
  <c r="J598" s="1"/>
  <c r="I866"/>
  <c r="J866" s="1"/>
  <c r="I1011"/>
  <c r="J1011" s="1"/>
  <c r="I73"/>
  <c r="J73" s="1"/>
  <c r="I1019"/>
  <c r="J1019" s="1"/>
  <c r="I867"/>
  <c r="J867" s="1"/>
  <c r="I605"/>
  <c r="J605" s="1"/>
  <c r="I72"/>
  <c r="J72" s="1"/>
  <c r="I602"/>
  <c r="J602" s="1"/>
  <c r="I1016"/>
  <c r="J1016" s="1"/>
  <c r="I864"/>
  <c r="J864" s="1"/>
  <c r="I228"/>
  <c r="J228" s="1"/>
  <c r="I1017"/>
  <c r="J1017" s="1"/>
  <c r="I865"/>
  <c r="J865" s="1"/>
  <c r="N865" s="1"/>
  <c r="I603"/>
  <c r="J603" s="1"/>
  <c r="N603" s="1"/>
  <c r="N223"/>
  <c r="I1444"/>
  <c r="J1444" s="1"/>
  <c r="I229"/>
  <c r="J229" s="1"/>
  <c r="N1094"/>
  <c r="I224"/>
  <c r="J224" s="1"/>
  <c r="N224" s="1"/>
  <c r="I1546"/>
  <c r="J1546" s="1"/>
  <c r="I103"/>
  <c r="J103" s="1"/>
  <c r="I230"/>
  <c r="J230" s="1"/>
  <c r="I1543"/>
  <c r="J1543" s="1"/>
  <c r="I227"/>
  <c r="J227" s="1"/>
  <c r="I102"/>
  <c r="J102" s="1"/>
  <c r="J1536"/>
  <c r="P1536"/>
  <c r="I1445"/>
  <c r="J1445" s="1"/>
  <c r="I1463"/>
  <c r="J1463" s="1"/>
  <c r="I1459"/>
  <c r="J1459" s="1"/>
  <c r="I1440"/>
  <c r="J1440" s="1"/>
  <c r="I1442"/>
  <c r="J1442" s="1"/>
  <c r="I1461"/>
  <c r="J1461" s="1"/>
  <c r="J1228"/>
  <c r="I1229"/>
  <c r="J1229" s="1"/>
  <c r="N1229" s="1"/>
  <c r="J1986"/>
  <c r="N1986" s="1"/>
  <c r="I1233"/>
  <c r="J1233" s="1"/>
  <c r="I1234"/>
  <c r="J1234" s="1"/>
  <c r="I1231"/>
  <c r="J1231" s="1"/>
  <c r="J1985"/>
  <c r="N1985" s="1"/>
  <c r="I1232"/>
  <c r="J1232" s="1"/>
  <c r="J1984"/>
  <c r="I950"/>
  <c r="J950" s="1"/>
  <c r="N950" s="1"/>
  <c r="I582"/>
  <c r="J582" s="1"/>
  <c r="I556"/>
  <c r="J556" s="1"/>
  <c r="N556" s="1"/>
  <c r="I380"/>
  <c r="J380" s="1"/>
  <c r="N380" s="1"/>
  <c r="I422"/>
  <c r="J422" s="1"/>
  <c r="N422" s="1"/>
  <c r="I578"/>
  <c r="J578" s="1"/>
  <c r="I427"/>
  <c r="J427" s="1"/>
  <c r="I385"/>
  <c r="J385" s="1"/>
  <c r="I955"/>
  <c r="J955" s="1"/>
  <c r="I428"/>
  <c r="J428" s="1"/>
  <c r="I386"/>
  <c r="J386" s="1"/>
  <c r="I956"/>
  <c r="J956" s="1"/>
  <c r="I585"/>
  <c r="J585" s="1"/>
  <c r="I378"/>
  <c r="J378" s="1"/>
  <c r="N378" s="1"/>
  <c r="I949"/>
  <c r="J949" s="1"/>
  <c r="N949" s="1"/>
  <c r="I420"/>
  <c r="J420" s="1"/>
  <c r="N420" s="1"/>
  <c r="I426"/>
  <c r="J426" s="1"/>
  <c r="I384"/>
  <c r="J384" s="1"/>
  <c r="I954"/>
  <c r="J954" s="1"/>
  <c r="I583"/>
  <c r="J583" s="1"/>
  <c r="N583" s="1"/>
  <c r="I423"/>
  <c r="J423" s="1"/>
  <c r="N423" s="1"/>
  <c r="I381"/>
  <c r="J381" s="1"/>
  <c r="N381" s="1"/>
  <c r="I421"/>
  <c r="J421" s="1"/>
  <c r="N421" s="1"/>
  <c r="I379"/>
  <c r="J379" s="1"/>
  <c r="N379" s="1"/>
  <c r="I425"/>
  <c r="J425" s="1"/>
  <c r="I953"/>
  <c r="J953" s="1"/>
  <c r="I383"/>
  <c r="J383" s="1"/>
  <c r="N580"/>
  <c r="V948"/>
  <c r="V950" s="1"/>
  <c r="P950"/>
  <c r="N948"/>
  <c r="K74" l="1"/>
  <c r="K77" s="1"/>
  <c r="I1443"/>
  <c r="J1443" s="1"/>
  <c r="N1443" s="1"/>
  <c r="K1765"/>
  <c r="K1770" s="1"/>
  <c r="K1783"/>
  <c r="K1788" s="1"/>
  <c r="N861"/>
  <c r="K863"/>
  <c r="K581"/>
  <c r="K606"/>
  <c r="K868"/>
  <c r="N1011"/>
  <c r="K1015"/>
  <c r="K601"/>
  <c r="N598"/>
  <c r="K1020"/>
  <c r="K1547"/>
  <c r="K104"/>
  <c r="K107" s="1"/>
  <c r="K231"/>
  <c r="K1464"/>
  <c r="K226"/>
  <c r="N1536"/>
  <c r="K1542"/>
  <c r="N1440"/>
  <c r="K1441"/>
  <c r="N1459"/>
  <c r="K1460"/>
  <c r="K1235"/>
  <c r="K1230"/>
  <c r="N1228"/>
  <c r="K1987"/>
  <c r="K1990" s="1"/>
  <c r="N1984"/>
  <c r="N1990" s="1"/>
  <c r="K952"/>
  <c r="K429"/>
  <c r="K586"/>
  <c r="K387"/>
  <c r="N578"/>
  <c r="K957"/>
  <c r="K424"/>
  <c r="K382"/>
  <c r="I1150"/>
  <c r="T56" i="11"/>
  <c r="S56"/>
  <c r="R56"/>
  <c r="L1093" i="58"/>
  <c r="L990"/>
  <c r="L735"/>
  <c r="N799" l="1"/>
  <c r="N842"/>
  <c r="N851" s="1"/>
  <c r="L851" s="1"/>
  <c r="Q837" s="1"/>
  <c r="L777"/>
  <c r="N777" s="1"/>
  <c r="L779"/>
  <c r="N779" s="1"/>
  <c r="K1467"/>
  <c r="K1446"/>
  <c r="K1449" s="1"/>
  <c r="K589"/>
  <c r="K1023"/>
  <c r="K873"/>
  <c r="K1550"/>
  <c r="K609"/>
  <c r="K234"/>
  <c r="K1238"/>
  <c r="R1976"/>
  <c r="L1990"/>
  <c r="Q1976" s="1"/>
  <c r="K960"/>
  <c r="K432"/>
  <c r="K390"/>
  <c r="L820"/>
  <c r="L736"/>
  <c r="L757"/>
  <c r="L822"/>
  <c r="L755"/>
  <c r="L656"/>
  <c r="R837" l="1"/>
  <c r="N811"/>
  <c r="N790"/>
  <c r="R772" s="1"/>
  <c r="R142" i="11"/>
  <c r="S142"/>
  <c r="T142"/>
  <c r="R141"/>
  <c r="S141"/>
  <c r="T141"/>
  <c r="R139"/>
  <c r="S139"/>
  <c r="T139"/>
  <c r="R136"/>
  <c r="S136"/>
  <c r="T136"/>
  <c r="R137"/>
  <c r="S137"/>
  <c r="T137"/>
  <c r="R123"/>
  <c r="S123"/>
  <c r="T123"/>
  <c r="R120"/>
  <c r="S120"/>
  <c r="T120"/>
  <c r="R110"/>
  <c r="S110"/>
  <c r="T110"/>
  <c r="R103"/>
  <c r="S103"/>
  <c r="T103"/>
  <c r="R102"/>
  <c r="S102"/>
  <c r="T102"/>
  <c r="R96"/>
  <c r="S96"/>
  <c r="T96"/>
  <c r="R85"/>
  <c r="S85"/>
  <c r="T85"/>
  <c r="R80"/>
  <c r="S80"/>
  <c r="T80"/>
  <c r="R75"/>
  <c r="S75"/>
  <c r="T75"/>
  <c r="R64"/>
  <c r="S64"/>
  <c r="T64"/>
  <c r="R62"/>
  <c r="S62"/>
  <c r="T62"/>
  <c r="R57"/>
  <c r="S57"/>
  <c r="T57"/>
  <c r="R55"/>
  <c r="S55"/>
  <c r="T55"/>
  <c r="R53"/>
  <c r="S53"/>
  <c r="T53"/>
  <c r="R794" i="58" l="1"/>
  <c r="L811"/>
  <c r="Q794" s="1"/>
  <c r="L790"/>
  <c r="Q772" s="1"/>
  <c r="B12" i="67"/>
  <c r="K20" i="70" l="1"/>
  <c r="K19"/>
  <c r="K18"/>
  <c r="K17"/>
  <c r="K16"/>
  <c r="K15"/>
  <c r="L555" i="58" l="1"/>
  <c r="L531"/>
  <c r="L506"/>
  <c r="L485"/>
  <c r="M21" i="70" l="1"/>
  <c r="M20"/>
  <c r="M19"/>
  <c r="M18"/>
  <c r="M17"/>
  <c r="M16"/>
  <c r="M15"/>
  <c r="M14"/>
  <c r="M12"/>
  <c r="M23" l="1"/>
  <c r="J114" i="59" s="1"/>
  <c r="B59" i="69" l="1"/>
  <c r="B110" i="71" s="1"/>
  <c r="B60" i="69" l="1"/>
  <c r="B112" i="71" s="1"/>
  <c r="L554" i="58"/>
  <c r="L530"/>
  <c r="L505"/>
  <c r="L484"/>
  <c r="L463"/>
  <c r="B61" i="69" l="1"/>
  <c r="B115" i="71" s="1"/>
  <c r="N1650" i="58"/>
  <c r="N1630"/>
  <c r="N1610"/>
  <c r="N1590"/>
  <c r="N1589"/>
  <c r="N1569"/>
  <c r="N1525"/>
  <c r="N1505"/>
  <c r="N1182"/>
  <c r="N1181"/>
  <c r="N1180"/>
  <c r="N1160"/>
  <c r="N1140"/>
  <c r="N1064"/>
  <c r="N1063"/>
  <c r="N1043"/>
  <c r="N1042"/>
  <c r="N1001"/>
  <c r="N1000"/>
  <c r="N980"/>
  <c r="N979"/>
  <c r="N938"/>
  <c r="N937"/>
  <c r="N894"/>
  <c r="N893"/>
  <c r="N832"/>
  <c r="N831"/>
  <c r="N830"/>
  <c r="N767"/>
  <c r="N766"/>
  <c r="N765"/>
  <c r="N724"/>
  <c r="N704"/>
  <c r="N567"/>
  <c r="N566"/>
  <c r="N565"/>
  <c r="N543"/>
  <c r="N542"/>
  <c r="N541"/>
  <c r="N518"/>
  <c r="N517"/>
  <c r="N516"/>
  <c r="N493"/>
  <c r="N472"/>
  <c r="N454"/>
  <c r="N410"/>
  <c r="N409"/>
  <c r="N368"/>
  <c r="N367"/>
  <c r="N192"/>
  <c r="N191"/>
  <c r="N190"/>
  <c r="N172"/>
  <c r="N171"/>
  <c r="N170"/>
  <c r="N1861"/>
  <c r="N1860"/>
  <c r="N1859"/>
  <c r="N1854"/>
  <c r="N1736"/>
  <c r="N1735"/>
  <c r="N1734"/>
  <c r="N1732"/>
  <c r="N1718"/>
  <c r="N1717"/>
  <c r="N1716"/>
  <c r="N1713"/>
  <c r="N1701"/>
  <c r="N1700"/>
  <c r="N1699"/>
  <c r="N1696"/>
  <c r="N1684"/>
  <c r="N1683"/>
  <c r="N1682"/>
  <c r="N1679"/>
  <c r="N1667"/>
  <c r="N1666"/>
  <c r="N1665"/>
  <c r="N1662"/>
  <c r="N1649"/>
  <c r="N1648"/>
  <c r="N1644"/>
  <c r="N1629"/>
  <c r="N1628"/>
  <c r="N1624"/>
  <c r="N1609"/>
  <c r="N1608"/>
  <c r="N1604"/>
  <c r="N1588"/>
  <c r="N1584"/>
  <c r="N1568"/>
  <c r="N1567"/>
  <c r="N1566"/>
  <c r="N1565"/>
  <c r="N1561"/>
  <c r="N1524"/>
  <c r="N1523"/>
  <c r="N1518"/>
  <c r="N1504"/>
  <c r="N1503"/>
  <c r="N1498"/>
  <c r="N1485"/>
  <c r="N1484"/>
  <c r="N1483"/>
  <c r="N1478"/>
  <c r="N1429"/>
  <c r="N1428"/>
  <c r="N1427"/>
  <c r="N1422"/>
  <c r="N1410"/>
  <c r="N1409"/>
  <c r="N1408"/>
  <c r="N1403"/>
  <c r="N1372"/>
  <c r="N1371"/>
  <c r="N1370"/>
  <c r="N1365"/>
  <c r="N1353"/>
  <c r="N1352"/>
  <c r="N1351"/>
  <c r="N1346"/>
  <c r="N1334"/>
  <c r="N1333"/>
  <c r="N1332"/>
  <c r="N1327"/>
  <c r="N1315"/>
  <c r="N1314"/>
  <c r="N1313"/>
  <c r="N1308"/>
  <c r="N1296"/>
  <c r="N1295"/>
  <c r="N1294"/>
  <c r="N1289"/>
  <c r="N1276"/>
  <c r="N1275"/>
  <c r="N1274"/>
  <c r="N1269"/>
  <c r="N1256"/>
  <c r="N1255"/>
  <c r="N1254"/>
  <c r="N1249"/>
  <c r="N1200"/>
  <c r="N1199"/>
  <c r="N1198"/>
  <c r="N1193"/>
  <c r="N1175"/>
  <c r="N1172"/>
  <c r="N1159"/>
  <c r="N1158"/>
  <c r="N1153"/>
  <c r="N1139"/>
  <c r="N1138"/>
  <c r="N1133"/>
  <c r="N1132"/>
  <c r="N1120"/>
  <c r="N1119"/>
  <c r="N1118"/>
  <c r="N1113"/>
  <c r="N1102"/>
  <c r="N1101"/>
  <c r="N1100"/>
  <c r="N1095"/>
  <c r="N1083"/>
  <c r="N1082"/>
  <c r="N1081"/>
  <c r="N1076"/>
  <c r="N1062"/>
  <c r="N1057"/>
  <c r="N1041"/>
  <c r="N1036"/>
  <c r="N999"/>
  <c r="N994"/>
  <c r="N978"/>
  <c r="N973"/>
  <c r="N936"/>
  <c r="N931"/>
  <c r="N892"/>
  <c r="N887"/>
  <c r="N825"/>
  <c r="N760"/>
  <c r="N745"/>
  <c r="N744"/>
  <c r="N743"/>
  <c r="N738"/>
  <c r="N723"/>
  <c r="N722"/>
  <c r="N717"/>
  <c r="N703"/>
  <c r="N702"/>
  <c r="N697"/>
  <c r="N665"/>
  <c r="N664"/>
  <c r="N663"/>
  <c r="N658"/>
  <c r="N627"/>
  <c r="N626"/>
  <c r="N625"/>
  <c r="N620"/>
  <c r="N560"/>
  <c r="N536"/>
  <c r="N535"/>
  <c r="N511"/>
  <c r="N510"/>
  <c r="N492"/>
  <c r="N491"/>
  <c r="N486"/>
  <c r="N471"/>
  <c r="N470"/>
  <c r="N465"/>
  <c r="N450"/>
  <c r="N449"/>
  <c r="N448"/>
  <c r="N443"/>
  <c r="N408"/>
  <c r="N403"/>
  <c r="N366"/>
  <c r="N361"/>
  <c r="N347"/>
  <c r="N346"/>
  <c r="N345"/>
  <c r="N340"/>
  <c r="N310"/>
  <c r="N309"/>
  <c r="N308"/>
  <c r="N303"/>
  <c r="N292"/>
  <c r="N291"/>
  <c r="N290"/>
  <c r="N285"/>
  <c r="N272"/>
  <c r="N271"/>
  <c r="N270"/>
  <c r="N265"/>
  <c r="N253"/>
  <c r="N252"/>
  <c r="N251"/>
  <c r="N246"/>
  <c r="N213"/>
  <c r="N212"/>
  <c r="N211"/>
  <c r="N206"/>
  <c r="N185"/>
  <c r="N165"/>
  <c r="N152"/>
  <c r="N151"/>
  <c r="N150"/>
  <c r="N147"/>
  <c r="N136"/>
  <c r="N135"/>
  <c r="N134"/>
  <c r="N131"/>
  <c r="N120"/>
  <c r="N119"/>
  <c r="N118"/>
  <c r="N90"/>
  <c r="N89"/>
  <c r="N88"/>
  <c r="N46"/>
  <c r="N45"/>
  <c r="N44"/>
  <c r="B63" i="69" l="1"/>
  <c r="B117" i="71" s="1"/>
  <c r="N72" i="58"/>
  <c r="N1763"/>
  <c r="N1781"/>
  <c r="N1782"/>
  <c r="N867"/>
  <c r="N1764"/>
  <c r="N602"/>
  <c r="N864"/>
  <c r="N604"/>
  <c r="N866"/>
  <c r="N1019"/>
  <c r="N605"/>
  <c r="N227"/>
  <c r="N1016"/>
  <c r="N228"/>
  <c r="N1017"/>
  <c r="N229"/>
  <c r="N1018"/>
  <c r="N103"/>
  <c r="N73"/>
  <c r="N1543"/>
  <c r="N102"/>
  <c r="N1546"/>
  <c r="N230"/>
  <c r="N1444"/>
  <c r="N1545"/>
  <c r="N1544"/>
  <c r="N1442"/>
  <c r="N1461"/>
  <c r="N1445"/>
  <c r="N1463"/>
  <c r="N1234"/>
  <c r="N1233"/>
  <c r="N1231"/>
  <c r="N426"/>
  <c r="N1232"/>
  <c r="N585"/>
  <c r="N582"/>
  <c r="N427"/>
  <c r="N584"/>
  <c r="N383"/>
  <c r="N425"/>
  <c r="N386"/>
  <c r="N428"/>
  <c r="N954"/>
  <c r="N384"/>
  <c r="N955"/>
  <c r="N385"/>
  <c r="N953"/>
  <c r="N956"/>
  <c r="B64" i="69" l="1"/>
  <c r="B119" i="71" s="1"/>
  <c r="N77" i="58"/>
  <c r="R65" s="1"/>
  <c r="N1770"/>
  <c r="R1756" s="1"/>
  <c r="N1788"/>
  <c r="N609"/>
  <c r="L609" s="1"/>
  <c r="Q593" s="1"/>
  <c r="N873"/>
  <c r="N234"/>
  <c r="R218" s="1"/>
  <c r="N1023"/>
  <c r="N107"/>
  <c r="R95" s="1"/>
  <c r="N1449"/>
  <c r="R1434" s="1"/>
  <c r="N1550"/>
  <c r="R1530" s="1"/>
  <c r="N1467"/>
  <c r="L1467" s="1"/>
  <c r="Q1453" s="1"/>
  <c r="N1238"/>
  <c r="N589"/>
  <c r="R572" s="1"/>
  <c r="N432"/>
  <c r="R415" s="1"/>
  <c r="N390"/>
  <c r="L390" s="1"/>
  <c r="Q373" s="1"/>
  <c r="N960"/>
  <c r="R943" s="1"/>
  <c r="B65" i="69" l="1"/>
  <c r="B122" i="71" s="1"/>
  <c r="L1770" i="58"/>
  <c r="Q1756" s="1"/>
  <c r="L77"/>
  <c r="Q65" s="1"/>
  <c r="R1774"/>
  <c r="L1788"/>
  <c r="Q1774" s="1"/>
  <c r="R593"/>
  <c r="L873"/>
  <c r="Q855" s="1"/>
  <c r="R855"/>
  <c r="L234"/>
  <c r="Q218" s="1"/>
  <c r="L1023"/>
  <c r="Q1006" s="1"/>
  <c r="R1006"/>
  <c r="L107"/>
  <c r="Q95" s="1"/>
  <c r="L1449"/>
  <c r="Q1434" s="1"/>
  <c r="R1453"/>
  <c r="L1550"/>
  <c r="Q1530" s="1"/>
  <c r="R1223"/>
  <c r="L1238"/>
  <c r="Q1223" s="1"/>
  <c r="L589"/>
  <c r="Q572" s="1"/>
  <c r="L432"/>
  <c r="Q415" s="1"/>
  <c r="R373"/>
  <c r="L960"/>
  <c r="Q943" s="1"/>
  <c r="B67" i="69" l="1"/>
  <c r="B124" i="71" s="1"/>
  <c r="F8" i="11"/>
  <c r="F7"/>
  <c r="F6"/>
  <c r="F4"/>
  <c r="E8" i="59"/>
  <c r="E7"/>
  <c r="E6"/>
  <c r="E4"/>
  <c r="O1396" i="58"/>
  <c r="I1404"/>
  <c r="I1405"/>
  <c r="I1407"/>
  <c r="K1410"/>
  <c r="O1048"/>
  <c r="P1053"/>
  <c r="W1053" s="1"/>
  <c r="I1058"/>
  <c r="I1059"/>
  <c r="I1061"/>
  <c r="K1064"/>
  <c r="O964"/>
  <c r="P969"/>
  <c r="P967" s="1"/>
  <c r="I974"/>
  <c r="I975"/>
  <c r="I977"/>
  <c r="K980"/>
  <c r="O985"/>
  <c r="I995"/>
  <c r="I996"/>
  <c r="I998"/>
  <c r="K1001"/>
  <c r="O1027"/>
  <c r="V1032"/>
  <c r="P1033" s="1"/>
  <c r="I1037"/>
  <c r="I1038"/>
  <c r="I1040"/>
  <c r="K1043"/>
  <c r="O333"/>
  <c r="I341"/>
  <c r="I344"/>
  <c r="K347"/>
  <c r="B68" i="69" l="1"/>
  <c r="B127" i="71" s="1"/>
  <c r="V969" i="58"/>
  <c r="V971" s="1"/>
  <c r="P968"/>
  <c r="J1401"/>
  <c r="N1401" s="1"/>
  <c r="J990"/>
  <c r="N990" s="1"/>
  <c r="J969"/>
  <c r="N969" s="1"/>
  <c r="J1053"/>
  <c r="N1053" s="1"/>
  <c r="J1038"/>
  <c r="N1038" s="1"/>
  <c r="J1059"/>
  <c r="N1059" s="1"/>
  <c r="J975"/>
  <c r="N975" s="1"/>
  <c r="J996"/>
  <c r="N996" s="1"/>
  <c r="J1405"/>
  <c r="N1405" s="1"/>
  <c r="J998"/>
  <c r="N998" s="1"/>
  <c r="J977"/>
  <c r="N977" s="1"/>
  <c r="J1407"/>
  <c r="N1407" s="1"/>
  <c r="J344"/>
  <c r="N344" s="1"/>
  <c r="J1040"/>
  <c r="N1040" s="1"/>
  <c r="J1061"/>
  <c r="N1061" s="1"/>
  <c r="J341"/>
  <c r="N341" s="1"/>
  <c r="J1037"/>
  <c r="N1037" s="1"/>
  <c r="J995"/>
  <c r="N995" s="1"/>
  <c r="J1404"/>
  <c r="N1404" s="1"/>
  <c r="J974"/>
  <c r="N974" s="1"/>
  <c r="J1058"/>
  <c r="N1058" s="1"/>
  <c r="I1402"/>
  <c r="B69" i="69" l="1"/>
  <c r="B71" s="1"/>
  <c r="P971" i="58"/>
  <c r="J1402"/>
  <c r="N1402" s="1"/>
  <c r="B134" i="71" l="1"/>
  <c r="B72" i="69"/>
  <c r="B132" i="71"/>
  <c r="K1403" i="58"/>
  <c r="B138" i="71" l="1"/>
  <c r="B73" i="69"/>
  <c r="B145" i="71" s="1"/>
  <c r="P402" i="58"/>
  <c r="V403" s="1"/>
  <c r="V400"/>
  <c r="V401" s="1"/>
  <c r="F18" i="67" l="1"/>
  <c r="F17"/>
  <c r="F16"/>
  <c r="D18"/>
  <c r="D17"/>
  <c r="D16"/>
  <c r="D15"/>
  <c r="D14"/>
  <c r="F14"/>
  <c r="O1723" i="58"/>
  <c r="K1736"/>
  <c r="I1711"/>
  <c r="K1718"/>
  <c r="O1706"/>
  <c r="I1677"/>
  <c r="I1694"/>
  <c r="I1660"/>
  <c r="I1580"/>
  <c r="I1601"/>
  <c r="O1554"/>
  <c r="K1569"/>
  <c r="I1247"/>
  <c r="I735"/>
  <c r="I715"/>
  <c r="V884"/>
  <c r="P885"/>
  <c r="P886" s="1"/>
  <c r="P884"/>
  <c r="P883"/>
  <c r="I508"/>
  <c r="H509"/>
  <c r="J20" i="70"/>
  <c r="J19"/>
  <c r="D17"/>
  <c r="D16"/>
  <c r="J15"/>
  <c r="J14"/>
  <c r="J12"/>
  <c r="F15" i="67"/>
  <c r="D18" i="70" l="1"/>
  <c r="J17"/>
  <c r="J16"/>
  <c r="I1034" i="58"/>
  <c r="I992"/>
  <c r="I1055"/>
  <c r="I971"/>
  <c r="I1560"/>
  <c r="J1560" s="1"/>
  <c r="N1560" s="1"/>
  <c r="J1711"/>
  <c r="N1711" s="1"/>
  <c r="J1728"/>
  <c r="N1728" s="1"/>
  <c r="P1516"/>
  <c r="F5" i="11"/>
  <c r="E5" i="59"/>
  <c r="J1559" i="58"/>
  <c r="N1559" s="1"/>
  <c r="P887"/>
  <c r="P888" s="1"/>
  <c r="J18" i="70" l="1"/>
  <c r="J22" s="1"/>
  <c r="J23" s="1"/>
  <c r="K23" s="1"/>
  <c r="I114" i="59" s="1"/>
  <c r="I1712" i="58"/>
  <c r="J1712" s="1"/>
  <c r="N1712" s="1"/>
  <c r="J1034"/>
  <c r="N1034" s="1"/>
  <c r="J971"/>
  <c r="N971" s="1"/>
  <c r="J1055"/>
  <c r="N1055" s="1"/>
  <c r="J992"/>
  <c r="N992" s="1"/>
  <c r="I183"/>
  <c r="K1561"/>
  <c r="J24" i="70" l="1"/>
  <c r="J25" s="1"/>
  <c r="G114" i="59" s="1"/>
  <c r="K1713" i="58"/>
  <c r="B117" i="69"/>
  <c r="B173" i="71"/>
  <c r="B196" l="1"/>
  <c r="B118" i="69"/>
  <c r="B119"/>
  <c r="B197" i="71" s="1"/>
  <c r="B50"/>
  <c r="B30"/>
  <c r="J10" i="70"/>
  <c r="K1732" i="58"/>
  <c r="B174" i="71" l="1"/>
  <c r="B57"/>
  <c r="B175" l="1"/>
  <c r="B59"/>
  <c r="W1517" i="58" l="1"/>
  <c r="B75" i="71" l="1"/>
  <c r="T84" i="11"/>
  <c r="S84"/>
  <c r="R84"/>
  <c r="I1420" i="58"/>
  <c r="K1429"/>
  <c r="O1415"/>
  <c r="B92" i="71" l="1"/>
  <c r="B83"/>
  <c r="P49" i="67"/>
  <c r="B87" i="71" l="1"/>
  <c r="K1610" i="58"/>
  <c r="I1603"/>
  <c r="I1602"/>
  <c r="I1600"/>
  <c r="O1595"/>
  <c r="O1635"/>
  <c r="O1615"/>
  <c r="I1643"/>
  <c r="I1642"/>
  <c r="I1640"/>
  <c r="I1623"/>
  <c r="J1623" s="1"/>
  <c r="N1623" s="1"/>
  <c r="I1622"/>
  <c r="J1622" s="1"/>
  <c r="N1622" s="1"/>
  <c r="I1620"/>
  <c r="J1620" s="1"/>
  <c r="N1620" s="1"/>
  <c r="K1650"/>
  <c r="V1641"/>
  <c r="K1630"/>
  <c r="B98" i="71" l="1"/>
  <c r="J1642" i="58"/>
  <c r="N1642" s="1"/>
  <c r="J1602"/>
  <c r="N1602" s="1"/>
  <c r="J1643"/>
  <c r="N1643" s="1"/>
  <c r="J1603"/>
  <c r="N1603" s="1"/>
  <c r="J1640"/>
  <c r="N1640" s="1"/>
  <c r="J1600"/>
  <c r="N1600" s="1"/>
  <c r="C11" i="64" l="1"/>
  <c r="I1421" i="58" l="1"/>
  <c r="J1420"/>
  <c r="N1420" s="1"/>
  <c r="I343"/>
  <c r="I485" l="1"/>
  <c r="I991"/>
  <c r="I1054"/>
  <c r="I1033"/>
  <c r="I970"/>
  <c r="J338"/>
  <c r="I1060"/>
  <c r="I1039"/>
  <c r="I1406"/>
  <c r="I997"/>
  <c r="I976"/>
  <c r="I342"/>
  <c r="I972"/>
  <c r="I1056"/>
  <c r="I1035"/>
  <c r="I993"/>
  <c r="J1421"/>
  <c r="N1421" s="1"/>
  <c r="J343"/>
  <c r="N343" s="1"/>
  <c r="I484"/>
  <c r="I339"/>
  <c r="I1583"/>
  <c r="J1583" s="1"/>
  <c r="N1583" s="1"/>
  <c r="I1715"/>
  <c r="I1714"/>
  <c r="I1563"/>
  <c r="I1562"/>
  <c r="I1564"/>
  <c r="I1606"/>
  <c r="I483"/>
  <c r="I22"/>
  <c r="I533"/>
  <c r="Q533" s="1"/>
  <c r="I1425"/>
  <c r="I1192"/>
  <c r="I1426"/>
  <c r="I1423"/>
  <c r="I1424"/>
  <c r="I1607"/>
  <c r="I1605"/>
  <c r="I1625"/>
  <c r="J1625" s="1"/>
  <c r="N1625" s="1"/>
  <c r="I1585"/>
  <c r="J1585" s="1"/>
  <c r="N1585" s="1"/>
  <c r="I1645"/>
  <c r="I1587"/>
  <c r="J1587" s="1"/>
  <c r="N1587" s="1"/>
  <c r="I1627"/>
  <c r="J1627" s="1"/>
  <c r="N1627" s="1"/>
  <c r="I1647"/>
  <c r="I1646"/>
  <c r="I1586"/>
  <c r="J1586" s="1"/>
  <c r="N1586" s="1"/>
  <c r="I1626"/>
  <c r="J1626" s="1"/>
  <c r="N1626" s="1"/>
  <c r="J1601"/>
  <c r="J1032" l="1"/>
  <c r="N1032" s="1"/>
  <c r="K1422"/>
  <c r="J1425"/>
  <c r="N1425" s="1"/>
  <c r="J993"/>
  <c r="N993" s="1"/>
  <c r="N338"/>
  <c r="J972"/>
  <c r="N972" s="1"/>
  <c r="J1406"/>
  <c r="J1054"/>
  <c r="J1035"/>
  <c r="N1035" s="1"/>
  <c r="J976"/>
  <c r="J1039"/>
  <c r="J970"/>
  <c r="J339"/>
  <c r="N339" s="1"/>
  <c r="J1056"/>
  <c r="N1056" s="1"/>
  <c r="J342"/>
  <c r="J997"/>
  <c r="J1060"/>
  <c r="J1033"/>
  <c r="N1033" s="1"/>
  <c r="J991"/>
  <c r="J1606"/>
  <c r="N1606" s="1"/>
  <c r="J1714"/>
  <c r="N1714" s="1"/>
  <c r="J1646"/>
  <c r="N1646" s="1"/>
  <c r="J1563"/>
  <c r="N1563" s="1"/>
  <c r="J1424"/>
  <c r="N1424" s="1"/>
  <c r="J1564"/>
  <c r="N1564" s="1"/>
  <c r="J1647"/>
  <c r="N1647" s="1"/>
  <c r="J1426"/>
  <c r="N1426" s="1"/>
  <c r="J1715"/>
  <c r="N1715" s="1"/>
  <c r="J1607"/>
  <c r="N1607" s="1"/>
  <c r="J1423"/>
  <c r="N1423" s="1"/>
  <c r="J1562"/>
  <c r="N1562" s="1"/>
  <c r="J1645"/>
  <c r="N1645" s="1"/>
  <c r="J1605"/>
  <c r="N1605" s="1"/>
  <c r="K1604"/>
  <c r="N1601"/>
  <c r="J1641"/>
  <c r="J1621"/>
  <c r="K1588"/>
  <c r="K1628"/>
  <c r="N1570" l="1"/>
  <c r="R1554" s="1"/>
  <c r="K1427"/>
  <c r="K1430" s="1"/>
  <c r="K1648"/>
  <c r="K1565"/>
  <c r="K1570" s="1"/>
  <c r="N1719"/>
  <c r="R1706" s="1"/>
  <c r="K1716"/>
  <c r="K1719" s="1"/>
  <c r="K1608"/>
  <c r="K1611" s="1"/>
  <c r="N1611"/>
  <c r="R1595" s="1"/>
  <c r="K1036"/>
  <c r="N997"/>
  <c r="K999"/>
  <c r="N1406"/>
  <c r="N1411" s="1"/>
  <c r="K1408"/>
  <c r="K1411" s="1"/>
  <c r="K340"/>
  <c r="N1060"/>
  <c r="K1062"/>
  <c r="N342"/>
  <c r="N348" s="1"/>
  <c r="R333" s="1"/>
  <c r="K345"/>
  <c r="N1039"/>
  <c r="N1044" s="1"/>
  <c r="R1027" s="1"/>
  <c r="K1041"/>
  <c r="N991"/>
  <c r="K994"/>
  <c r="N976"/>
  <c r="K978"/>
  <c r="N970"/>
  <c r="K973"/>
  <c r="N1054"/>
  <c r="K1057"/>
  <c r="N1430"/>
  <c r="J1733"/>
  <c r="N1733" s="1"/>
  <c r="K1644"/>
  <c r="N1641"/>
  <c r="N1651" s="1"/>
  <c r="K1624"/>
  <c r="K1631" s="1"/>
  <c r="N1621"/>
  <c r="N1631" s="1"/>
  <c r="K1651" l="1"/>
  <c r="L1570"/>
  <c r="Q1554" s="1"/>
  <c r="L1430"/>
  <c r="Q1415" s="1"/>
  <c r="K1044"/>
  <c r="L1044" s="1"/>
  <c r="Q1027" s="1"/>
  <c r="N1737"/>
  <c r="R1723" s="1"/>
  <c r="L1719"/>
  <c r="Q1706" s="1"/>
  <c r="N1065"/>
  <c r="R1048" s="1"/>
  <c r="N981"/>
  <c r="R964" s="1"/>
  <c r="K1734"/>
  <c r="K1737" s="1"/>
  <c r="R1415"/>
  <c r="N1002"/>
  <c r="R985" s="1"/>
  <c r="L1411"/>
  <c r="Q1396" s="1"/>
  <c r="R1396"/>
  <c r="K1065"/>
  <c r="K981"/>
  <c r="K348"/>
  <c r="K1002"/>
  <c r="R1615"/>
  <c r="L1631"/>
  <c r="Q1615" s="1"/>
  <c r="R1635"/>
  <c r="L1611"/>
  <c r="Q1595" s="1"/>
  <c r="F14"/>
  <c r="F13"/>
  <c r="F12"/>
  <c r="F11"/>
  <c r="L1651" l="1"/>
  <c r="Q1635" s="1"/>
  <c r="L1737"/>
  <c r="Q1723" s="1"/>
  <c r="L348"/>
  <c r="Q333" s="1"/>
  <c r="L1065"/>
  <c r="Q1048" s="1"/>
  <c r="L1002"/>
  <c r="Q985" s="1"/>
  <c r="L981"/>
  <c r="Q964" s="1"/>
  <c r="O1847" l="1"/>
  <c r="K1861"/>
  <c r="O1689"/>
  <c r="K1701"/>
  <c r="O1672"/>
  <c r="K1684"/>
  <c r="O1655"/>
  <c r="K1667"/>
  <c r="O1574"/>
  <c r="K1590"/>
  <c r="I1582"/>
  <c r="J1582" s="1"/>
  <c r="N1582" s="1"/>
  <c r="I1581"/>
  <c r="J1581" s="1"/>
  <c r="N1581" s="1"/>
  <c r="I1579"/>
  <c r="J1579" s="1"/>
  <c r="N1579" s="1"/>
  <c r="O1510"/>
  <c r="K1525"/>
  <c r="O1490"/>
  <c r="K1505"/>
  <c r="O1471"/>
  <c r="K1485"/>
  <c r="J1477"/>
  <c r="N1477" s="1"/>
  <c r="O1358"/>
  <c r="K1372"/>
  <c r="O1339"/>
  <c r="O1320"/>
  <c r="O1301"/>
  <c r="K1353"/>
  <c r="K1334"/>
  <c r="K1315"/>
  <c r="O1281"/>
  <c r="O1261"/>
  <c r="K1296"/>
  <c r="K1276"/>
  <c r="O1242"/>
  <c r="K1256"/>
  <c r="O1187"/>
  <c r="K1200"/>
  <c r="O1165"/>
  <c r="K1182"/>
  <c r="O1145"/>
  <c r="K1160"/>
  <c r="O1125"/>
  <c r="K1140"/>
  <c r="O1107"/>
  <c r="K1120"/>
  <c r="O1088"/>
  <c r="O1069"/>
  <c r="K1102"/>
  <c r="K1083"/>
  <c r="O877" l="1"/>
  <c r="K894"/>
  <c r="O921" l="1"/>
  <c r="K938"/>
  <c r="O815"/>
  <c r="K832"/>
  <c r="O750"/>
  <c r="K767"/>
  <c r="O729"/>
  <c r="K745"/>
  <c r="O709"/>
  <c r="K724"/>
  <c r="O688"/>
  <c r="K704"/>
  <c r="P694"/>
  <c r="O651"/>
  <c r="K665"/>
  <c r="O613"/>
  <c r="K627"/>
  <c r="O548"/>
  <c r="K567"/>
  <c r="O523"/>
  <c r="K543"/>
  <c r="O498"/>
  <c r="K518"/>
  <c r="O477"/>
  <c r="O456"/>
  <c r="K493"/>
  <c r="K472"/>
  <c r="O436"/>
  <c r="K450"/>
  <c r="O394"/>
  <c r="K410"/>
  <c r="O352"/>
  <c r="K368"/>
  <c r="O297" l="1"/>
  <c r="K310"/>
  <c r="O277"/>
  <c r="O258"/>
  <c r="K292"/>
  <c r="K272"/>
  <c r="O238"/>
  <c r="K253"/>
  <c r="O197"/>
  <c r="K213"/>
  <c r="O177"/>
  <c r="K192"/>
  <c r="O157"/>
  <c r="K172"/>
  <c r="O141"/>
  <c r="K152"/>
  <c r="O125"/>
  <c r="K136"/>
  <c r="O111"/>
  <c r="K120"/>
  <c r="O81"/>
  <c r="K90"/>
  <c r="O37"/>
  <c r="K46"/>
  <c r="K32"/>
  <c r="O17"/>
  <c r="H274" l="1"/>
  <c r="H78"/>
  <c r="K1720"/>
  <c r="K1721" s="1"/>
  <c r="P1706" s="1"/>
  <c r="K1652"/>
  <c r="K1653" s="1"/>
  <c r="P1635" s="1"/>
  <c r="K1571"/>
  <c r="K1572" s="1"/>
  <c r="P1554" s="1"/>
  <c r="K1450"/>
  <c r="K1451" s="1"/>
  <c r="P1434" s="1"/>
  <c r="K1412"/>
  <c r="K1413" s="1"/>
  <c r="P1396" s="1"/>
  <c r="K1239"/>
  <c r="K1240" s="1"/>
  <c r="P1223" s="1"/>
  <c r="K1066"/>
  <c r="K1067" s="1"/>
  <c r="P1048" s="1"/>
  <c r="K1024"/>
  <c r="K1025" s="1"/>
  <c r="P1006" s="1"/>
  <c r="K982"/>
  <c r="K983" s="1"/>
  <c r="P964" s="1"/>
  <c r="K874"/>
  <c r="K875" s="1"/>
  <c r="P855" s="1"/>
  <c r="K610"/>
  <c r="K611" s="1"/>
  <c r="P593" s="1"/>
  <c r="K433"/>
  <c r="K434" s="1"/>
  <c r="P415" s="1"/>
  <c r="K349"/>
  <c r="K350" s="1"/>
  <c r="P333" s="1"/>
  <c r="K108"/>
  <c r="K109" s="1"/>
  <c r="P95" s="1"/>
  <c r="F78"/>
  <c r="K1789"/>
  <c r="K1790" s="1"/>
  <c r="P1774" s="1"/>
  <c r="K1738"/>
  <c r="K1739" s="1"/>
  <c r="P1723" s="1"/>
  <c r="K1468"/>
  <c r="K1469" s="1"/>
  <c r="P1453" s="1"/>
  <c r="K1431"/>
  <c r="K1432" s="1"/>
  <c r="P1415" s="1"/>
  <c r="K1045"/>
  <c r="K1046" s="1"/>
  <c r="P1027" s="1"/>
  <c r="K1003"/>
  <c r="K1004" s="1"/>
  <c r="P985" s="1"/>
  <c r="F274"/>
  <c r="K961" l="1"/>
  <c r="K962" s="1"/>
  <c r="P943" s="1"/>
  <c r="K1632"/>
  <c r="K1633" s="1"/>
  <c r="P1615" s="1"/>
  <c r="K1612"/>
  <c r="K1613" s="1"/>
  <c r="P1595" s="1"/>
  <c r="K1771"/>
  <c r="K1772" s="1"/>
  <c r="P1756" s="1"/>
  <c r="K235"/>
  <c r="K236" s="1"/>
  <c r="P218" s="1"/>
  <c r="K590"/>
  <c r="K591" s="1"/>
  <c r="P572" s="1"/>
  <c r="K1551"/>
  <c r="K1552" s="1"/>
  <c r="P1530" s="1"/>
  <c r="K78"/>
  <c r="K79" s="1"/>
  <c r="P65" s="1"/>
  <c r="K391"/>
  <c r="K392" s="1"/>
  <c r="P373" s="1"/>
  <c r="K1991"/>
  <c r="K1992" s="1"/>
  <c r="P1976" s="1"/>
  <c r="B12" i="59"/>
  <c r="B37" i="58"/>
  <c r="B51" l="1"/>
  <c r="A26" i="69"/>
  <c r="H12" i="59"/>
  <c r="C12"/>
  <c r="F12"/>
  <c r="B65" i="58" l="1"/>
  <c r="B14" i="59"/>
  <c r="D26" i="69"/>
  <c r="C14" i="71" s="1"/>
  <c r="I26" i="69"/>
  <c r="H26"/>
  <c r="C14" i="59" l="1"/>
  <c r="H14"/>
  <c r="J14"/>
  <c r="F14"/>
  <c r="I14"/>
  <c r="G14"/>
  <c r="B81" i="58"/>
  <c r="B15" i="59"/>
  <c r="B13"/>
  <c r="S143" i="11"/>
  <c r="T143"/>
  <c r="R143"/>
  <c r="S124"/>
  <c r="T124"/>
  <c r="S125"/>
  <c r="T125"/>
  <c r="S128"/>
  <c r="T128"/>
  <c r="S129"/>
  <c r="T129"/>
  <c r="S130"/>
  <c r="T130"/>
  <c r="S131"/>
  <c r="T131"/>
  <c r="S132"/>
  <c r="T132"/>
  <c r="S140"/>
  <c r="T140"/>
  <c r="R124"/>
  <c r="R125"/>
  <c r="R128"/>
  <c r="R129"/>
  <c r="R130"/>
  <c r="R131"/>
  <c r="R132"/>
  <c r="R140"/>
  <c r="S111"/>
  <c r="T111"/>
  <c r="S112"/>
  <c r="T112"/>
  <c r="S113"/>
  <c r="T113"/>
  <c r="S114"/>
  <c r="T114"/>
  <c r="S115"/>
  <c r="T115"/>
  <c r="S116"/>
  <c r="T116"/>
  <c r="S117"/>
  <c r="T117"/>
  <c r="S118"/>
  <c r="T118"/>
  <c r="S121"/>
  <c r="T121"/>
  <c r="S122"/>
  <c r="T122"/>
  <c r="R111"/>
  <c r="R112"/>
  <c r="R113"/>
  <c r="R114"/>
  <c r="R115"/>
  <c r="R116"/>
  <c r="R117"/>
  <c r="R118"/>
  <c r="R121"/>
  <c r="R122"/>
  <c r="S99"/>
  <c r="T99"/>
  <c r="S104"/>
  <c r="T104"/>
  <c r="S105"/>
  <c r="T105"/>
  <c r="S106"/>
  <c r="T106"/>
  <c r="S107"/>
  <c r="T107"/>
  <c r="S109"/>
  <c r="T109"/>
  <c r="R99"/>
  <c r="R104"/>
  <c r="R105"/>
  <c r="R106"/>
  <c r="R107"/>
  <c r="R109"/>
  <c r="S81"/>
  <c r="T81"/>
  <c r="S86"/>
  <c r="T86"/>
  <c r="S93"/>
  <c r="T93"/>
  <c r="R81"/>
  <c r="R86"/>
  <c r="R93"/>
  <c r="S68"/>
  <c r="T68"/>
  <c r="S69"/>
  <c r="T69"/>
  <c r="S70"/>
  <c r="T70"/>
  <c r="S72"/>
  <c r="T72"/>
  <c r="S73"/>
  <c r="T73"/>
  <c r="S74"/>
  <c r="T74"/>
  <c r="R68"/>
  <c r="R69"/>
  <c r="R70"/>
  <c r="R72"/>
  <c r="R73"/>
  <c r="R74"/>
  <c r="S58"/>
  <c r="T58"/>
  <c r="S63"/>
  <c r="T63"/>
  <c r="R63"/>
  <c r="S54"/>
  <c r="T54"/>
  <c r="R54"/>
  <c r="R58"/>
  <c r="S34"/>
  <c r="T34"/>
  <c r="S35"/>
  <c r="T35"/>
  <c r="S36"/>
  <c r="T36"/>
  <c r="S40"/>
  <c r="T40"/>
  <c r="S41"/>
  <c r="T41"/>
  <c r="S44"/>
  <c r="T44"/>
  <c r="S45"/>
  <c r="T45"/>
  <c r="S47"/>
  <c r="T47"/>
  <c r="R34"/>
  <c r="R35"/>
  <c r="R36"/>
  <c r="R40"/>
  <c r="R41"/>
  <c r="R44"/>
  <c r="R45"/>
  <c r="R47"/>
  <c r="S15"/>
  <c r="T15"/>
  <c r="S16"/>
  <c r="T16"/>
  <c r="S17"/>
  <c r="T17"/>
  <c r="S18"/>
  <c r="T18"/>
  <c r="S19"/>
  <c r="T19"/>
  <c r="S20"/>
  <c r="T20"/>
  <c r="S21"/>
  <c r="T21"/>
  <c r="S22"/>
  <c r="T22"/>
  <c r="S23"/>
  <c r="T23"/>
  <c r="S24"/>
  <c r="T24"/>
  <c r="S25"/>
  <c r="T25"/>
  <c r="S26"/>
  <c r="T26"/>
  <c r="R15"/>
  <c r="R16"/>
  <c r="R17"/>
  <c r="R18"/>
  <c r="R19"/>
  <c r="R20"/>
  <c r="R21"/>
  <c r="R22"/>
  <c r="R23"/>
  <c r="R24"/>
  <c r="R25"/>
  <c r="R26"/>
  <c r="C15" i="59" l="1"/>
  <c r="F15"/>
  <c r="I15"/>
  <c r="H15"/>
  <c r="J15"/>
  <c r="G15"/>
  <c r="B95" i="58"/>
  <c r="H13" i="59"/>
  <c r="C13"/>
  <c r="F13"/>
  <c r="B16"/>
  <c r="A32" i="69" s="1"/>
  <c r="B17" i="59" l="1"/>
  <c r="B111" i="58"/>
  <c r="H16" i="59"/>
  <c r="H32" i="69" s="1"/>
  <c r="C16" i="59"/>
  <c r="D32" i="69" s="1"/>
  <c r="C21" i="71" s="1"/>
  <c r="F16" i="59"/>
  <c r="I32" i="69" s="1"/>
  <c r="B125" i="58" l="1"/>
  <c r="H17" i="59"/>
  <c r="C17"/>
  <c r="F17"/>
  <c r="J17"/>
  <c r="I17"/>
  <c r="G17"/>
  <c r="J1192" i="58"/>
  <c r="I1517"/>
  <c r="I442"/>
  <c r="I618"/>
  <c r="J183"/>
  <c r="N183" s="1"/>
  <c r="I1496"/>
  <c r="I886"/>
  <c r="I930"/>
  <c r="I530"/>
  <c r="Q530" s="1"/>
  <c r="I505"/>
  <c r="J484"/>
  <c r="N484" s="1"/>
  <c r="I463"/>
  <c r="I554"/>
  <c r="I1515"/>
  <c r="I1495"/>
  <c r="I1344"/>
  <c r="I1267"/>
  <c r="I1852"/>
  <c r="I755"/>
  <c r="J820"/>
  <c r="I1170"/>
  <c r="I359"/>
  <c r="I401"/>
  <c r="I656"/>
  <c r="I184"/>
  <c r="I1853"/>
  <c r="I1174"/>
  <c r="I1152"/>
  <c r="J1152" s="1"/>
  <c r="N1152" s="1"/>
  <c r="I885"/>
  <c r="I929"/>
  <c r="I264"/>
  <c r="J264" s="1"/>
  <c r="N264" s="1"/>
  <c r="I205"/>
  <c r="I284"/>
  <c r="I245"/>
  <c r="I619"/>
  <c r="I1325"/>
  <c r="I823"/>
  <c r="I758"/>
  <c r="I716"/>
  <c r="I822"/>
  <c r="I757"/>
  <c r="J735"/>
  <c r="I243"/>
  <c r="I203"/>
  <c r="I441"/>
  <c r="J1150"/>
  <c r="N1150" s="1"/>
  <c r="I1476"/>
  <c r="I532"/>
  <c r="Q532" s="1"/>
  <c r="I504"/>
  <c r="J483"/>
  <c r="N483" s="1"/>
  <c r="I462"/>
  <c r="I553"/>
  <c r="I529"/>
  <c r="Q529" s="1"/>
  <c r="J508"/>
  <c r="N508" s="1"/>
  <c r="J533"/>
  <c r="N533" s="1"/>
  <c r="I400"/>
  <c r="I358"/>
  <c r="I1151"/>
  <c r="J1151" s="1"/>
  <c r="N1151" s="1"/>
  <c r="I1173"/>
  <c r="I884"/>
  <c r="I928"/>
  <c r="I357"/>
  <c r="I399"/>
  <c r="I244"/>
  <c r="I302"/>
  <c r="I263"/>
  <c r="J263" s="1"/>
  <c r="N263" s="1"/>
  <c r="I204"/>
  <c r="I283"/>
  <c r="I1306"/>
  <c r="I657"/>
  <c r="J1677"/>
  <c r="N1677" s="1"/>
  <c r="J1580"/>
  <c r="J714"/>
  <c r="N714" s="1"/>
  <c r="I555"/>
  <c r="I531"/>
  <c r="Q531" s="1"/>
  <c r="I506"/>
  <c r="J485"/>
  <c r="N485" s="1"/>
  <c r="I464"/>
  <c r="J715"/>
  <c r="N715" s="1"/>
  <c r="I883"/>
  <c r="I1363"/>
  <c r="I1287"/>
  <c r="J1694"/>
  <c r="N1694" s="1"/>
  <c r="J1660"/>
  <c r="I23"/>
  <c r="I162"/>
  <c r="J162" s="1"/>
  <c r="N162" s="1"/>
  <c r="I24"/>
  <c r="I146"/>
  <c r="I164"/>
  <c r="J164" s="1"/>
  <c r="N164" s="1"/>
  <c r="I130"/>
  <c r="J22"/>
  <c r="N22" s="1"/>
  <c r="I163"/>
  <c r="J163" s="1"/>
  <c r="N163" s="1"/>
  <c r="N735" l="1"/>
  <c r="N820"/>
  <c r="J464"/>
  <c r="N464" s="1"/>
  <c r="J555"/>
  <c r="N555" s="1"/>
  <c r="J400"/>
  <c r="N400" s="1"/>
  <c r="J529"/>
  <c r="N529" s="1"/>
  <c r="J504"/>
  <c r="N504" s="1"/>
  <c r="J929"/>
  <c r="N929" s="1"/>
  <c r="J822"/>
  <c r="N822" s="1"/>
  <c r="J284"/>
  <c r="N284" s="1"/>
  <c r="J401"/>
  <c r="N401" s="1"/>
  <c r="J506"/>
  <c r="N506" s="1"/>
  <c r="J462"/>
  <c r="N462" s="1"/>
  <c r="J532"/>
  <c r="N532" s="1"/>
  <c r="J243"/>
  <c r="N243" s="1"/>
  <c r="J205"/>
  <c r="N205" s="1"/>
  <c r="J885"/>
  <c r="N885" s="1"/>
  <c r="J359"/>
  <c r="N359" s="1"/>
  <c r="J1131"/>
  <c r="N1131" s="1"/>
  <c r="J757"/>
  <c r="N757" s="1"/>
  <c r="J245"/>
  <c r="N245" s="1"/>
  <c r="J1174"/>
  <c r="N1174" s="1"/>
  <c r="J24"/>
  <c r="N24" s="1"/>
  <c r="J553"/>
  <c r="N553" s="1"/>
  <c r="J507"/>
  <c r="N507" s="1"/>
  <c r="J203"/>
  <c r="N203" s="1"/>
  <c r="J1853"/>
  <c r="N1853" s="1"/>
  <c r="J755"/>
  <c r="J531"/>
  <c r="N531" s="1"/>
  <c r="J358"/>
  <c r="N358" s="1"/>
  <c r="J130"/>
  <c r="K131" s="1"/>
  <c r="J657"/>
  <c r="N657" s="1"/>
  <c r="J1173"/>
  <c r="N1173" s="1"/>
  <c r="J463"/>
  <c r="N463" s="1"/>
  <c r="J302"/>
  <c r="K303" s="1"/>
  <c r="J146"/>
  <c r="K147" s="1"/>
  <c r="J23"/>
  <c r="N23" s="1"/>
  <c r="J204"/>
  <c r="N204" s="1"/>
  <c r="J399"/>
  <c r="N399" s="1"/>
  <c r="J441"/>
  <c r="N441" s="1"/>
  <c r="J823"/>
  <c r="N823" s="1"/>
  <c r="J554"/>
  <c r="N554" s="1"/>
  <c r="J530"/>
  <c r="N530" s="1"/>
  <c r="J442"/>
  <c r="N442" s="1"/>
  <c r="J716"/>
  <c r="N716" s="1"/>
  <c r="J184"/>
  <c r="N184" s="1"/>
  <c r="J1852"/>
  <c r="N1852" s="1"/>
  <c r="J1515"/>
  <c r="N1515" s="1"/>
  <c r="J886"/>
  <c r="N886" s="1"/>
  <c r="J618"/>
  <c r="N618" s="1"/>
  <c r="J883"/>
  <c r="N883" s="1"/>
  <c r="J357"/>
  <c r="N357" s="1"/>
  <c r="J1476"/>
  <c r="N1476" s="1"/>
  <c r="J1495"/>
  <c r="N1495" s="1"/>
  <c r="J930"/>
  <c r="N930" s="1"/>
  <c r="J928"/>
  <c r="N928" s="1"/>
  <c r="J283"/>
  <c r="N283" s="1"/>
  <c r="J244"/>
  <c r="N244" s="1"/>
  <c r="J884"/>
  <c r="N884" s="1"/>
  <c r="J758"/>
  <c r="N758" s="1"/>
  <c r="J619"/>
  <c r="N619" s="1"/>
  <c r="J656"/>
  <c r="N656" s="1"/>
  <c r="J505"/>
  <c r="N505" s="1"/>
  <c r="J927"/>
  <c r="N927" s="1"/>
  <c r="I1661"/>
  <c r="N1660"/>
  <c r="K1193"/>
  <c r="N1192"/>
  <c r="K1584"/>
  <c r="N1580"/>
  <c r="N1591" s="1"/>
  <c r="I1695"/>
  <c r="I1678"/>
  <c r="J1517"/>
  <c r="N1517" s="1"/>
  <c r="P1518"/>
  <c r="J1516"/>
  <c r="N1516" s="1"/>
  <c r="K265"/>
  <c r="I721"/>
  <c r="I1697"/>
  <c r="I1663"/>
  <c r="I1680"/>
  <c r="I1520"/>
  <c r="I1500"/>
  <c r="I720"/>
  <c r="I828"/>
  <c r="I763"/>
  <c r="I700"/>
  <c r="I741"/>
  <c r="I446"/>
  <c r="I360"/>
  <c r="I402"/>
  <c r="I1856"/>
  <c r="I1349"/>
  <c r="I1367"/>
  <c r="I1348"/>
  <c r="I1310"/>
  <c r="I1291"/>
  <c r="I1195"/>
  <c r="I1329"/>
  <c r="J1329" s="1"/>
  <c r="N1329" s="1"/>
  <c r="I1271"/>
  <c r="I1251"/>
  <c r="I1135"/>
  <c r="I1177"/>
  <c r="I1155"/>
  <c r="J1155" s="1"/>
  <c r="N1155" s="1"/>
  <c r="I889"/>
  <c r="I933"/>
  <c r="I405"/>
  <c r="I363"/>
  <c r="I305"/>
  <c r="I287"/>
  <c r="I248"/>
  <c r="I187"/>
  <c r="I267"/>
  <c r="J267" s="1"/>
  <c r="N267" s="1"/>
  <c r="I208"/>
  <c r="I1858"/>
  <c r="I1681"/>
  <c r="I1698"/>
  <c r="I1482"/>
  <c r="I1522"/>
  <c r="I1502"/>
  <c r="I1664"/>
  <c r="I1331"/>
  <c r="J1331" s="1"/>
  <c r="N1331" s="1"/>
  <c r="I1273"/>
  <c r="I1253"/>
  <c r="I1117"/>
  <c r="I1369"/>
  <c r="I1350"/>
  <c r="I1312"/>
  <c r="I1293"/>
  <c r="I1197"/>
  <c r="I1179"/>
  <c r="I1157"/>
  <c r="J1157" s="1"/>
  <c r="N1157" s="1"/>
  <c r="I1080"/>
  <c r="I1099"/>
  <c r="I1137"/>
  <c r="I891"/>
  <c r="I935"/>
  <c r="I829"/>
  <c r="I764"/>
  <c r="I701"/>
  <c r="I742"/>
  <c r="I662"/>
  <c r="I624"/>
  <c r="I540"/>
  <c r="I490"/>
  <c r="I365"/>
  <c r="I515"/>
  <c r="I407"/>
  <c r="I564"/>
  <c r="I469"/>
  <c r="I447"/>
  <c r="I269"/>
  <c r="J269" s="1"/>
  <c r="N269" s="1"/>
  <c r="I210"/>
  <c r="I307"/>
  <c r="I289"/>
  <c r="I250"/>
  <c r="I189"/>
  <c r="I1521"/>
  <c r="I1501"/>
  <c r="I1112"/>
  <c r="I1307"/>
  <c r="J1306"/>
  <c r="N1306" s="1"/>
  <c r="I1248"/>
  <c r="J1247"/>
  <c r="N1247" s="1"/>
  <c r="I1268"/>
  <c r="J1267"/>
  <c r="N1267" s="1"/>
  <c r="J1130"/>
  <c r="N1130" s="1"/>
  <c r="K1153"/>
  <c r="J693"/>
  <c r="I1171"/>
  <c r="J1170"/>
  <c r="N1170" s="1"/>
  <c r="I1345"/>
  <c r="J1344"/>
  <c r="N1344" s="1"/>
  <c r="I740"/>
  <c r="I719"/>
  <c r="I827"/>
  <c r="I762"/>
  <c r="I699"/>
  <c r="I445"/>
  <c r="I1481"/>
  <c r="I1116"/>
  <c r="I1079"/>
  <c r="I1098"/>
  <c r="I623"/>
  <c r="I661"/>
  <c r="I514"/>
  <c r="I563"/>
  <c r="I539"/>
  <c r="I468"/>
  <c r="I489"/>
  <c r="I1857"/>
  <c r="I1368"/>
  <c r="I1311"/>
  <c r="I1292"/>
  <c r="I1196"/>
  <c r="I1156"/>
  <c r="J1156" s="1"/>
  <c r="N1156" s="1"/>
  <c r="I1330"/>
  <c r="J1330" s="1"/>
  <c r="N1330" s="1"/>
  <c r="I1272"/>
  <c r="I1252"/>
  <c r="I1178"/>
  <c r="I1136"/>
  <c r="I890"/>
  <c r="I934"/>
  <c r="I364"/>
  <c r="I406"/>
  <c r="I249"/>
  <c r="I188"/>
  <c r="I268"/>
  <c r="J268" s="1"/>
  <c r="N268" s="1"/>
  <c r="I209"/>
  <c r="I306"/>
  <c r="I288"/>
  <c r="J1093"/>
  <c r="I534"/>
  <c r="Q534" s="1"/>
  <c r="K486"/>
  <c r="J1287"/>
  <c r="N1287" s="1"/>
  <c r="I1288"/>
  <c r="I1364"/>
  <c r="J1363"/>
  <c r="N1363" s="1"/>
  <c r="I1326"/>
  <c r="J1326" s="1"/>
  <c r="N1326" s="1"/>
  <c r="J1325"/>
  <c r="N1325" s="1"/>
  <c r="I1480"/>
  <c r="I1115"/>
  <c r="I1078"/>
  <c r="I1097"/>
  <c r="I660"/>
  <c r="I622"/>
  <c r="I562"/>
  <c r="I538"/>
  <c r="I467"/>
  <c r="I488"/>
  <c r="I513"/>
  <c r="I1855"/>
  <c r="I1519"/>
  <c r="I1499"/>
  <c r="I1479"/>
  <c r="I1328"/>
  <c r="J1328" s="1"/>
  <c r="N1328" s="1"/>
  <c r="I1270"/>
  <c r="I1250"/>
  <c r="I1176"/>
  <c r="I1134"/>
  <c r="I1366"/>
  <c r="I1347"/>
  <c r="I1309"/>
  <c r="I1290"/>
  <c r="I1194"/>
  <c r="I1154"/>
  <c r="J1154" s="1"/>
  <c r="N1154" s="1"/>
  <c r="I1096"/>
  <c r="I1114"/>
  <c r="I1077"/>
  <c r="I888"/>
  <c r="I932"/>
  <c r="I761"/>
  <c r="I698"/>
  <c r="I739"/>
  <c r="I659"/>
  <c r="I718"/>
  <c r="I621"/>
  <c r="I826"/>
  <c r="I512"/>
  <c r="I362"/>
  <c r="I561"/>
  <c r="I404"/>
  <c r="I537"/>
  <c r="I466"/>
  <c r="I444"/>
  <c r="I487"/>
  <c r="I266"/>
  <c r="J266" s="1"/>
  <c r="N266" s="1"/>
  <c r="I207"/>
  <c r="I304"/>
  <c r="I286"/>
  <c r="I247"/>
  <c r="I186"/>
  <c r="I1497"/>
  <c r="J1496"/>
  <c r="N1496" s="1"/>
  <c r="I26"/>
  <c r="I167"/>
  <c r="J167" s="1"/>
  <c r="N167" s="1"/>
  <c r="I132"/>
  <c r="I86"/>
  <c r="I42"/>
  <c r="I27"/>
  <c r="I166"/>
  <c r="J166" s="1"/>
  <c r="N166" s="1"/>
  <c r="I148"/>
  <c r="I116"/>
  <c r="K165"/>
  <c r="I169"/>
  <c r="J169" s="1"/>
  <c r="N169" s="1"/>
  <c r="I149"/>
  <c r="I117"/>
  <c r="I133"/>
  <c r="I87"/>
  <c r="I43"/>
  <c r="I29"/>
  <c r="I28"/>
  <c r="I168"/>
  <c r="J168" s="1"/>
  <c r="N168" s="1"/>
  <c r="B35" i="11"/>
  <c r="B36" s="1"/>
  <c r="B37" l="1"/>
  <c r="I759" i="58"/>
  <c r="J759" s="1"/>
  <c r="N759" s="1"/>
  <c r="I824"/>
  <c r="J824" s="1"/>
  <c r="N824" s="1"/>
  <c r="N755"/>
  <c r="N693"/>
  <c r="B17" i="11"/>
  <c r="B18" s="1"/>
  <c r="B19" s="1"/>
  <c r="N302" i="58"/>
  <c r="N130"/>
  <c r="K246"/>
  <c r="K185"/>
  <c r="K1478"/>
  <c r="K25"/>
  <c r="K1854"/>
  <c r="J1364"/>
  <c r="N1364" s="1"/>
  <c r="J1074"/>
  <c r="J1497"/>
  <c r="N1497" s="1"/>
  <c r="K560"/>
  <c r="K206"/>
  <c r="K285"/>
  <c r="J1678"/>
  <c r="K1679" s="1"/>
  <c r="J1695"/>
  <c r="N1695" s="1"/>
  <c r="J509"/>
  <c r="K511" s="1"/>
  <c r="J1307"/>
  <c r="N1307" s="1"/>
  <c r="J1661"/>
  <c r="K1662" s="1"/>
  <c r="K465"/>
  <c r="J534"/>
  <c r="N534" s="1"/>
  <c r="J1171"/>
  <c r="N1171" s="1"/>
  <c r="J1248"/>
  <c r="N1248" s="1"/>
  <c r="K717"/>
  <c r="K887"/>
  <c r="J660"/>
  <c r="N660" s="1"/>
  <c r="J1136"/>
  <c r="N1136" s="1"/>
  <c r="J1311"/>
  <c r="N1311" s="1"/>
  <c r="J1079"/>
  <c r="N1079" s="1"/>
  <c r="J1112"/>
  <c r="K1113" s="1"/>
  <c r="J513"/>
  <c r="N513" s="1"/>
  <c r="J562"/>
  <c r="N562" s="1"/>
  <c r="J1097"/>
  <c r="N1097" s="1"/>
  <c r="J1288"/>
  <c r="N1288" s="1"/>
  <c r="J539"/>
  <c r="N539" s="1"/>
  <c r="J1116"/>
  <c r="N1116" s="1"/>
  <c r="J402"/>
  <c r="K403" s="1"/>
  <c r="J28"/>
  <c r="N28" s="1"/>
  <c r="J467"/>
  <c r="N467" s="1"/>
  <c r="J1115"/>
  <c r="N1115" s="1"/>
  <c r="J209"/>
  <c r="N209" s="1"/>
  <c r="J406"/>
  <c r="N406" s="1"/>
  <c r="J1272"/>
  <c r="N1272" s="1"/>
  <c r="J1292"/>
  <c r="N1292" s="1"/>
  <c r="J489"/>
  <c r="N489" s="1"/>
  <c r="J514"/>
  <c r="N514" s="1"/>
  <c r="J1098"/>
  <c r="N1098" s="1"/>
  <c r="J1268"/>
  <c r="N1268" s="1"/>
  <c r="J446"/>
  <c r="N446" s="1"/>
  <c r="J828"/>
  <c r="N828" s="1"/>
  <c r="K443"/>
  <c r="J538"/>
  <c r="N538" s="1"/>
  <c r="J1480"/>
  <c r="N1480" s="1"/>
  <c r="J468"/>
  <c r="N468" s="1"/>
  <c r="J1345"/>
  <c r="N1345" s="1"/>
  <c r="J720"/>
  <c r="N720" s="1"/>
  <c r="K931"/>
  <c r="J934"/>
  <c r="N934" s="1"/>
  <c r="K620"/>
  <c r="J1501"/>
  <c r="N1501" s="1"/>
  <c r="J700"/>
  <c r="N700" s="1"/>
  <c r="N146"/>
  <c r="J26"/>
  <c r="N26" s="1"/>
  <c r="J364"/>
  <c r="N364" s="1"/>
  <c r="J736"/>
  <c r="J741"/>
  <c r="N741" s="1"/>
  <c r="J288"/>
  <c r="N288" s="1"/>
  <c r="J188"/>
  <c r="N188" s="1"/>
  <c r="J1178"/>
  <c r="N1178" s="1"/>
  <c r="J1368"/>
  <c r="N1368" s="1"/>
  <c r="J661"/>
  <c r="N661" s="1"/>
  <c r="N1161"/>
  <c r="R1145" s="1"/>
  <c r="J488"/>
  <c r="N488" s="1"/>
  <c r="J622"/>
  <c r="N622" s="1"/>
  <c r="J1078"/>
  <c r="N1078" s="1"/>
  <c r="K658"/>
  <c r="J306"/>
  <c r="N306" s="1"/>
  <c r="J249"/>
  <c r="N249" s="1"/>
  <c r="J890"/>
  <c r="N890" s="1"/>
  <c r="J1252"/>
  <c r="N1252" s="1"/>
  <c r="J1196"/>
  <c r="N1196" s="1"/>
  <c r="J1857"/>
  <c r="N1857" s="1"/>
  <c r="J563"/>
  <c r="N563" s="1"/>
  <c r="J623"/>
  <c r="N623" s="1"/>
  <c r="J1481"/>
  <c r="N1481" s="1"/>
  <c r="J694"/>
  <c r="N694" s="1"/>
  <c r="J1521"/>
  <c r="N1521" s="1"/>
  <c r="J360"/>
  <c r="N360" s="1"/>
  <c r="J763"/>
  <c r="N763" s="1"/>
  <c r="J1680"/>
  <c r="N1680" s="1"/>
  <c r="J1663"/>
  <c r="N1663" s="1"/>
  <c r="J1697"/>
  <c r="N1697" s="1"/>
  <c r="J445"/>
  <c r="N445" s="1"/>
  <c r="J719"/>
  <c r="N719" s="1"/>
  <c r="J187"/>
  <c r="N187" s="1"/>
  <c r="J363"/>
  <c r="N363" s="1"/>
  <c r="J1251"/>
  <c r="N1251" s="1"/>
  <c r="J1291"/>
  <c r="N1291" s="1"/>
  <c r="J1349"/>
  <c r="N1349" s="1"/>
  <c r="J699"/>
  <c r="N699" s="1"/>
  <c r="J740"/>
  <c r="N740" s="1"/>
  <c r="J248"/>
  <c r="N248" s="1"/>
  <c r="J405"/>
  <c r="N405" s="1"/>
  <c r="J1271"/>
  <c r="N1271" s="1"/>
  <c r="J1310"/>
  <c r="N1310" s="1"/>
  <c r="J1856"/>
  <c r="N1856" s="1"/>
  <c r="J762"/>
  <c r="N762" s="1"/>
  <c r="J208"/>
  <c r="N208" s="1"/>
  <c r="J287"/>
  <c r="N287" s="1"/>
  <c r="J933"/>
  <c r="N933" s="1"/>
  <c r="J1177"/>
  <c r="N1177" s="1"/>
  <c r="J1348"/>
  <c r="N1348" s="1"/>
  <c r="J1500"/>
  <c r="N1500" s="1"/>
  <c r="J827"/>
  <c r="N827" s="1"/>
  <c r="J305"/>
  <c r="N305" s="1"/>
  <c r="J889"/>
  <c r="N889" s="1"/>
  <c r="J1135"/>
  <c r="N1135" s="1"/>
  <c r="J1195"/>
  <c r="N1195" s="1"/>
  <c r="J1367"/>
  <c r="N1367" s="1"/>
  <c r="J1520"/>
  <c r="N1520" s="1"/>
  <c r="J189"/>
  <c r="N189" s="1"/>
  <c r="J210"/>
  <c r="N210" s="1"/>
  <c r="J564"/>
  <c r="N564" s="1"/>
  <c r="J490"/>
  <c r="N490" s="1"/>
  <c r="J662"/>
  <c r="N662" s="1"/>
  <c r="J829"/>
  <c r="N829" s="1"/>
  <c r="J1137"/>
  <c r="N1137" s="1"/>
  <c r="J1179"/>
  <c r="N1179" s="1"/>
  <c r="J1350"/>
  <c r="N1350" s="1"/>
  <c r="J1273"/>
  <c r="N1273" s="1"/>
  <c r="J1522"/>
  <c r="N1522" s="1"/>
  <c r="J1858"/>
  <c r="N1858" s="1"/>
  <c r="J29"/>
  <c r="N29" s="1"/>
  <c r="J133"/>
  <c r="N133" s="1"/>
  <c r="J250"/>
  <c r="N250" s="1"/>
  <c r="J407"/>
  <c r="N407" s="1"/>
  <c r="J540"/>
  <c r="N540" s="1"/>
  <c r="J742"/>
  <c r="N742" s="1"/>
  <c r="J935"/>
  <c r="N935" s="1"/>
  <c r="J1099"/>
  <c r="N1099" s="1"/>
  <c r="J1197"/>
  <c r="N1197" s="1"/>
  <c r="J1369"/>
  <c r="N1369" s="1"/>
  <c r="J1482"/>
  <c r="N1482" s="1"/>
  <c r="J43"/>
  <c r="N43" s="1"/>
  <c r="J117"/>
  <c r="N117" s="1"/>
  <c r="J289"/>
  <c r="N289" s="1"/>
  <c r="J447"/>
  <c r="N447" s="1"/>
  <c r="J515"/>
  <c r="N515" s="1"/>
  <c r="J624"/>
  <c r="N624" s="1"/>
  <c r="J701"/>
  <c r="N701" s="1"/>
  <c r="J1080"/>
  <c r="N1080" s="1"/>
  <c r="J1293"/>
  <c r="N1293" s="1"/>
  <c r="J1117"/>
  <c r="N1117" s="1"/>
  <c r="J1664"/>
  <c r="N1664" s="1"/>
  <c r="J1698"/>
  <c r="N1698" s="1"/>
  <c r="J87"/>
  <c r="N87" s="1"/>
  <c r="J149"/>
  <c r="N149" s="1"/>
  <c r="J307"/>
  <c r="N307" s="1"/>
  <c r="J469"/>
  <c r="N469" s="1"/>
  <c r="J365"/>
  <c r="N365" s="1"/>
  <c r="J764"/>
  <c r="N764" s="1"/>
  <c r="J891"/>
  <c r="N891" s="1"/>
  <c r="J1312"/>
  <c r="N1312" s="1"/>
  <c r="J1253"/>
  <c r="N1253" s="1"/>
  <c r="J1502"/>
  <c r="N1502" s="1"/>
  <c r="J1681"/>
  <c r="N1681" s="1"/>
  <c r="J721"/>
  <c r="N721" s="1"/>
  <c r="J247"/>
  <c r="N247" s="1"/>
  <c r="J537"/>
  <c r="N537" s="1"/>
  <c r="J761"/>
  <c r="N761" s="1"/>
  <c r="J1366"/>
  <c r="N1366" s="1"/>
  <c r="J1519"/>
  <c r="N1519" s="1"/>
  <c r="J116"/>
  <c r="N116" s="1"/>
  <c r="J27"/>
  <c r="N27" s="1"/>
  <c r="J132"/>
  <c r="N132" s="1"/>
  <c r="J286"/>
  <c r="N286" s="1"/>
  <c r="J487"/>
  <c r="N487" s="1"/>
  <c r="J404"/>
  <c r="N404" s="1"/>
  <c r="J826"/>
  <c r="N826" s="1"/>
  <c r="J659"/>
  <c r="N659" s="1"/>
  <c r="J932"/>
  <c r="N932" s="1"/>
  <c r="J1114"/>
  <c r="N1114" s="1"/>
  <c r="J1290"/>
  <c r="N1290" s="1"/>
  <c r="J1134"/>
  <c r="N1134" s="1"/>
  <c r="J1855"/>
  <c r="N1855" s="1"/>
  <c r="R1574"/>
  <c r="J148"/>
  <c r="N148" s="1"/>
  <c r="J42"/>
  <c r="N42" s="1"/>
  <c r="J304"/>
  <c r="N304" s="1"/>
  <c r="J444"/>
  <c r="N444" s="1"/>
  <c r="J561"/>
  <c r="N561" s="1"/>
  <c r="J621"/>
  <c r="N621" s="1"/>
  <c r="J739"/>
  <c r="N739" s="1"/>
  <c r="J1096"/>
  <c r="N1096" s="1"/>
  <c r="J1309"/>
  <c r="N1309" s="1"/>
  <c r="J1176"/>
  <c r="N1176" s="1"/>
  <c r="J1479"/>
  <c r="N1479" s="1"/>
  <c r="J512"/>
  <c r="N512" s="1"/>
  <c r="J1077"/>
  <c r="J1194"/>
  <c r="N1194" s="1"/>
  <c r="J1270"/>
  <c r="N1270" s="1"/>
  <c r="J86"/>
  <c r="N86" s="1"/>
  <c r="J186"/>
  <c r="N186" s="1"/>
  <c r="J207"/>
  <c r="N207" s="1"/>
  <c r="J466"/>
  <c r="N466" s="1"/>
  <c r="J362"/>
  <c r="N362" s="1"/>
  <c r="J718"/>
  <c r="N718" s="1"/>
  <c r="J698"/>
  <c r="N698" s="1"/>
  <c r="J888"/>
  <c r="N888" s="1"/>
  <c r="J1347"/>
  <c r="N1347" s="1"/>
  <c r="J1250"/>
  <c r="N1250" s="1"/>
  <c r="J1499"/>
  <c r="N1499" s="1"/>
  <c r="N273"/>
  <c r="N173"/>
  <c r="N1335"/>
  <c r="K1095"/>
  <c r="N1093"/>
  <c r="K1518"/>
  <c r="K1158"/>
  <c r="K1161" s="1"/>
  <c r="K1162" s="1"/>
  <c r="K1163" s="1"/>
  <c r="P1145" s="1"/>
  <c r="K1332"/>
  <c r="K1591"/>
  <c r="L1591" s="1"/>
  <c r="Q1574" s="1"/>
  <c r="K270"/>
  <c r="K273" s="1"/>
  <c r="K274" s="1"/>
  <c r="K275" s="1"/>
  <c r="P258" s="1"/>
  <c r="K1133"/>
  <c r="K1327"/>
  <c r="K170"/>
  <c r="K173" s="1"/>
  <c r="K174" s="1"/>
  <c r="K175" s="1"/>
  <c r="P157" s="1"/>
  <c r="N1077" l="1"/>
  <c r="K1081"/>
  <c r="N1074"/>
  <c r="N1084" s="1"/>
  <c r="K1076"/>
  <c r="B38" i="11"/>
  <c r="B39" s="1"/>
  <c r="B40" s="1"/>
  <c r="B41" s="1"/>
  <c r="B42" s="1"/>
  <c r="B43" s="1"/>
  <c r="B44" s="1"/>
  <c r="B45" s="1"/>
  <c r="B46" s="1"/>
  <c r="B47" s="1"/>
  <c r="B48" s="1"/>
  <c r="B49" s="1"/>
  <c r="I737" i="58"/>
  <c r="J737" s="1"/>
  <c r="N737" s="1"/>
  <c r="K825"/>
  <c r="K760"/>
  <c r="N47"/>
  <c r="R37" s="1"/>
  <c r="N91"/>
  <c r="R81" s="1"/>
  <c r="K697"/>
  <c r="B20" i="11"/>
  <c r="B21" s="1"/>
  <c r="B22" s="1"/>
  <c r="B23" s="1"/>
  <c r="N1661" i="58"/>
  <c r="N1668" s="1"/>
  <c r="R1655" s="1"/>
  <c r="K1498"/>
  <c r="K536"/>
  <c r="K361"/>
  <c r="N1112"/>
  <c r="N1121" s="1"/>
  <c r="R1107" s="1"/>
  <c r="N1526"/>
  <c r="R1510" s="1"/>
  <c r="K1289"/>
  <c r="K1696"/>
  <c r="K134"/>
  <c r="K137" s="1"/>
  <c r="K138" s="1"/>
  <c r="K139" s="1"/>
  <c r="P125" s="1"/>
  <c r="K1699"/>
  <c r="N1678"/>
  <c r="N1685" s="1"/>
  <c r="R1672" s="1"/>
  <c r="N568"/>
  <c r="K1365"/>
  <c r="K936"/>
  <c r="K939" s="1"/>
  <c r="K940" s="1"/>
  <c r="K941" s="1"/>
  <c r="P921" s="1"/>
  <c r="K44"/>
  <c r="K47" s="1"/>
  <c r="K48" s="1"/>
  <c r="K49" s="1"/>
  <c r="P37" s="1"/>
  <c r="G13" i="59" s="1"/>
  <c r="K1665" i="58"/>
  <c r="K1668" s="1"/>
  <c r="K1669" s="1"/>
  <c r="K1670" s="1"/>
  <c r="P1655" s="1"/>
  <c r="K1100"/>
  <c r="K1103" s="1"/>
  <c r="K1104" s="1"/>
  <c r="K1105" s="1"/>
  <c r="P1088" s="1"/>
  <c r="N137"/>
  <c r="R125" s="1"/>
  <c r="N895"/>
  <c r="R877" s="1"/>
  <c r="K88"/>
  <c r="K91" s="1"/>
  <c r="K92" s="1"/>
  <c r="K93" s="1"/>
  <c r="P81" s="1"/>
  <c r="G16" i="59" s="1"/>
  <c r="N402" i="58"/>
  <c r="N411" s="1"/>
  <c r="N1316"/>
  <c r="R1301" s="1"/>
  <c r="N153"/>
  <c r="R141" s="1"/>
  <c r="N1297"/>
  <c r="R1281" s="1"/>
  <c r="K1269"/>
  <c r="N509"/>
  <c r="N519" s="1"/>
  <c r="K1308"/>
  <c r="K1249"/>
  <c r="N1702"/>
  <c r="R1689" s="1"/>
  <c r="K366"/>
  <c r="N1103"/>
  <c r="R1088" s="1"/>
  <c r="N311"/>
  <c r="R297" s="1"/>
  <c r="N939"/>
  <c r="R921" s="1"/>
  <c r="K1175"/>
  <c r="N121"/>
  <c r="R111" s="1"/>
  <c r="N33"/>
  <c r="R17" s="1"/>
  <c r="N1277"/>
  <c r="R1261" s="1"/>
  <c r="N254"/>
  <c r="R238" s="1"/>
  <c r="N1257"/>
  <c r="R1242" s="1"/>
  <c r="N193"/>
  <c r="R177" s="1"/>
  <c r="K118"/>
  <c r="K121" s="1"/>
  <c r="K122" s="1"/>
  <c r="K123" s="1"/>
  <c r="P111" s="1"/>
  <c r="K30"/>
  <c r="K33" s="1"/>
  <c r="K34" s="1"/>
  <c r="K35" s="1"/>
  <c r="P17" s="1"/>
  <c r="G12" i="59" s="1"/>
  <c r="K892" i="58"/>
  <c r="K895" s="1"/>
  <c r="K896" s="1"/>
  <c r="K897" s="1"/>
  <c r="P877" s="1"/>
  <c r="K1351"/>
  <c r="N833"/>
  <c r="R815" s="1"/>
  <c r="N1506"/>
  <c r="R1490" s="1"/>
  <c r="N628"/>
  <c r="R613" s="1"/>
  <c r="N1183"/>
  <c r="R1165" s="1"/>
  <c r="K1682"/>
  <c r="K1685" s="1"/>
  <c r="K1686" s="1"/>
  <c r="K1687" s="1"/>
  <c r="P1672" s="1"/>
  <c r="K625"/>
  <c r="K628" s="1"/>
  <c r="K629" s="1"/>
  <c r="K630" s="1"/>
  <c r="P613" s="1"/>
  <c r="K1523"/>
  <c r="K1526" s="1"/>
  <c r="K1527" s="1"/>
  <c r="K1528" s="1"/>
  <c r="P1510" s="1"/>
  <c r="K722"/>
  <c r="K725" s="1"/>
  <c r="K726" s="1"/>
  <c r="K727" s="1"/>
  <c r="P709" s="1"/>
  <c r="N369"/>
  <c r="R352" s="1"/>
  <c r="K743"/>
  <c r="K290"/>
  <c r="K293" s="1"/>
  <c r="K294" s="1"/>
  <c r="K295" s="1"/>
  <c r="P277" s="1"/>
  <c r="K1503"/>
  <c r="K1294"/>
  <c r="K830"/>
  <c r="N473"/>
  <c r="R456" s="1"/>
  <c r="N1486"/>
  <c r="R1471" s="1"/>
  <c r="N1862"/>
  <c r="R1847" s="1"/>
  <c r="N1201"/>
  <c r="R1187" s="1"/>
  <c r="N494"/>
  <c r="R477" s="1"/>
  <c r="N1373"/>
  <c r="R1358" s="1"/>
  <c r="K150"/>
  <c r="K153" s="1"/>
  <c r="K154" s="1"/>
  <c r="K155" s="1"/>
  <c r="P141" s="1"/>
  <c r="K765"/>
  <c r="K1274"/>
  <c r="K702"/>
  <c r="K190"/>
  <c r="K193" s="1"/>
  <c r="K194" s="1"/>
  <c r="K195" s="1"/>
  <c r="P177" s="1"/>
  <c r="K470"/>
  <c r="K473" s="1"/>
  <c r="K474" s="1"/>
  <c r="K475" s="1"/>
  <c r="P456" s="1"/>
  <c r="K1118"/>
  <c r="K1121" s="1"/>
  <c r="K1122" s="1"/>
  <c r="K1123" s="1"/>
  <c r="P1107" s="1"/>
  <c r="K251"/>
  <c r="K254" s="1"/>
  <c r="K255" s="1"/>
  <c r="K256" s="1"/>
  <c r="P238" s="1"/>
  <c r="N725"/>
  <c r="R709" s="1"/>
  <c r="K1254"/>
  <c r="N705"/>
  <c r="R688" s="1"/>
  <c r="K1180"/>
  <c r="K663"/>
  <c r="K666" s="1"/>
  <c r="K667" s="1"/>
  <c r="K668" s="1"/>
  <c r="P651" s="1"/>
  <c r="K1483"/>
  <c r="K1486" s="1"/>
  <c r="K1487" s="1"/>
  <c r="K1488" s="1"/>
  <c r="P1471" s="1"/>
  <c r="K211"/>
  <c r="K214" s="1"/>
  <c r="K215" s="1"/>
  <c r="K216" s="1"/>
  <c r="P197" s="1"/>
  <c r="N768"/>
  <c r="R750" s="1"/>
  <c r="N736"/>
  <c r="K1370"/>
  <c r="K1859"/>
  <c r="K1862" s="1"/>
  <c r="K1863" s="1"/>
  <c r="K1864" s="1"/>
  <c r="P1847" s="1"/>
  <c r="N1354"/>
  <c r="R1339" s="1"/>
  <c r="N214"/>
  <c r="R197" s="1"/>
  <c r="N1141"/>
  <c r="R1125" s="1"/>
  <c r="K1346"/>
  <c r="K491"/>
  <c r="K494" s="1"/>
  <c r="K495" s="1"/>
  <c r="K496" s="1"/>
  <c r="P477" s="1"/>
  <c r="K541"/>
  <c r="N544"/>
  <c r="R523" s="1"/>
  <c r="K448"/>
  <c r="K451" s="1"/>
  <c r="K452" s="1"/>
  <c r="K453" s="1"/>
  <c r="I454" s="1"/>
  <c r="K454" s="1"/>
  <c r="P436" s="1"/>
  <c r="K308"/>
  <c r="K311" s="1"/>
  <c r="K312" s="1"/>
  <c r="K313" s="1"/>
  <c r="P297" s="1"/>
  <c r="K1198"/>
  <c r="K1201" s="1"/>
  <c r="K1202" s="1"/>
  <c r="K1203" s="1"/>
  <c r="P1187" s="1"/>
  <c r="N666"/>
  <c r="R651" s="1"/>
  <c r="N293"/>
  <c r="R277" s="1"/>
  <c r="R1320"/>
  <c r="K1138"/>
  <c r="K1141" s="1"/>
  <c r="K1142" s="1"/>
  <c r="K1143" s="1"/>
  <c r="P1125" s="1"/>
  <c r="K565"/>
  <c r="K568" s="1"/>
  <c r="K569" s="1"/>
  <c r="K570" s="1"/>
  <c r="P548" s="1"/>
  <c r="K408"/>
  <c r="K411" s="1"/>
  <c r="K412" s="1"/>
  <c r="K413" s="1"/>
  <c r="P394" s="1"/>
  <c r="K1313"/>
  <c r="K516"/>
  <c r="K519" s="1"/>
  <c r="K520" s="1"/>
  <c r="K521" s="1"/>
  <c r="P498" s="1"/>
  <c r="R157"/>
  <c r="L173"/>
  <c r="Q157" s="1"/>
  <c r="R258"/>
  <c r="L273"/>
  <c r="Q258" s="1"/>
  <c r="L1161"/>
  <c r="Q1145" s="1"/>
  <c r="N451"/>
  <c r="K1592"/>
  <c r="K1335"/>
  <c r="K1336" s="1"/>
  <c r="K1337" s="1"/>
  <c r="P1320" s="1"/>
  <c r="B50" i="11" l="1"/>
  <c r="B51" s="1"/>
  <c r="B52" s="1"/>
  <c r="B53" s="1"/>
  <c r="B54" s="1"/>
  <c r="B55" s="1"/>
  <c r="B56" s="1"/>
  <c r="B87" s="1"/>
  <c r="B89" s="1"/>
  <c r="B91" s="1"/>
  <c r="B93" s="1"/>
  <c r="B24"/>
  <c r="B25" s="1"/>
  <c r="B26" s="1"/>
  <c r="B27" s="1"/>
  <c r="N746" i="58"/>
  <c r="R729" s="1"/>
  <c r="K738"/>
  <c r="K746" s="1"/>
  <c r="K768"/>
  <c r="K769" s="1"/>
  <c r="K770" s="1"/>
  <c r="P750" s="1"/>
  <c r="K1084"/>
  <c r="K1085" s="1"/>
  <c r="K1086" s="1"/>
  <c r="P1069" s="1"/>
  <c r="K1506"/>
  <c r="K1507" s="1"/>
  <c r="K1508" s="1"/>
  <c r="P1490" s="1"/>
  <c r="K544"/>
  <c r="K545" s="1"/>
  <c r="K546" s="1"/>
  <c r="P523" s="1"/>
  <c r="K369"/>
  <c r="K370" s="1"/>
  <c r="K371" s="1"/>
  <c r="P352" s="1"/>
  <c r="L47"/>
  <c r="Q37" s="1"/>
  <c r="I13" i="59" s="1"/>
  <c r="K1297" i="58"/>
  <c r="K1298" s="1"/>
  <c r="K1299" s="1"/>
  <c r="P1281" s="1"/>
  <c r="L137"/>
  <c r="Q125" s="1"/>
  <c r="K1257"/>
  <c r="K1258" s="1"/>
  <c r="K1259" s="1"/>
  <c r="P1242" s="1"/>
  <c r="L121"/>
  <c r="Q111" s="1"/>
  <c r="K1702"/>
  <c r="K1703" s="1"/>
  <c r="K1704" s="1"/>
  <c r="P1689" s="1"/>
  <c r="L628"/>
  <c r="Q613" s="1"/>
  <c r="K1316"/>
  <c r="K1317" s="1"/>
  <c r="K1318" s="1"/>
  <c r="P1301" s="1"/>
  <c r="L91"/>
  <c r="Q81" s="1"/>
  <c r="I16" i="59" s="1"/>
  <c r="K1373" i="58"/>
  <c r="K1374" s="1"/>
  <c r="K1375" s="1"/>
  <c r="P1358" s="1"/>
  <c r="K1183"/>
  <c r="K1184" s="1"/>
  <c r="K1185" s="1"/>
  <c r="P1165" s="1"/>
  <c r="K1354"/>
  <c r="K1355" s="1"/>
  <c r="K1356" s="1"/>
  <c r="P1339" s="1"/>
  <c r="K1277"/>
  <c r="K1278" s="1"/>
  <c r="K1279" s="1"/>
  <c r="P1261" s="1"/>
  <c r="L254"/>
  <c r="Q238" s="1"/>
  <c r="K833"/>
  <c r="K834" s="1"/>
  <c r="K835" s="1"/>
  <c r="P815" s="1"/>
  <c r="L33"/>
  <c r="Q17" s="1"/>
  <c r="I12" i="59" s="1"/>
  <c r="L153" i="58"/>
  <c r="Q141" s="1"/>
  <c r="L939"/>
  <c r="Q921" s="1"/>
  <c r="L895"/>
  <c r="Q877" s="1"/>
  <c r="K705"/>
  <c r="K706" s="1"/>
  <c r="K707" s="1"/>
  <c r="P688" s="1"/>
  <c r="L666"/>
  <c r="Q651" s="1"/>
  <c r="R1069"/>
  <c r="L725"/>
  <c r="Q709" s="1"/>
  <c r="L1526"/>
  <c r="Q1510" s="1"/>
  <c r="L1862"/>
  <c r="Q1847" s="1"/>
  <c r="L473"/>
  <c r="Q456" s="1"/>
  <c r="L1121"/>
  <c r="Q1107" s="1"/>
  <c r="L451"/>
  <c r="Q436" s="1"/>
  <c r="L193"/>
  <c r="Q177" s="1"/>
  <c r="L1103"/>
  <c r="Q1088" s="1"/>
  <c r="L1486"/>
  <c r="Q1471" s="1"/>
  <c r="L214"/>
  <c r="Q197" s="1"/>
  <c r="L293"/>
  <c r="Q277" s="1"/>
  <c r="L311"/>
  <c r="Q297" s="1"/>
  <c r="L494"/>
  <c r="Q477" s="1"/>
  <c r="L1201"/>
  <c r="Q1187" s="1"/>
  <c r="L1335"/>
  <c r="Q1320" s="1"/>
  <c r="L1685"/>
  <c r="Q1672" s="1"/>
  <c r="L1668"/>
  <c r="Q1655" s="1"/>
  <c r="R394"/>
  <c r="L411"/>
  <c r="Q394" s="1"/>
  <c r="R548"/>
  <c r="L568"/>
  <c r="Q548" s="1"/>
  <c r="J13" i="59"/>
  <c r="L1141" i="58"/>
  <c r="Q1125" s="1"/>
  <c r="R436"/>
  <c r="R498"/>
  <c r="L519"/>
  <c r="Q498" s="1"/>
  <c r="J16" i="59"/>
  <c r="J12"/>
  <c r="J32" i="69"/>
  <c r="J26"/>
  <c r="K1593" i="58"/>
  <c r="P1574" s="1"/>
  <c r="B58" i="11" l="1"/>
  <c r="B59" s="1"/>
  <c r="B60" s="1"/>
  <c r="B61" s="1"/>
  <c r="B62" s="1"/>
  <c r="B63" s="1"/>
  <c r="B64" s="1"/>
  <c r="L768" i="58"/>
  <c r="Q750" s="1"/>
  <c r="L746"/>
  <c r="Q729" s="1"/>
  <c r="K747"/>
  <c r="K748" s="1"/>
  <c r="P729" s="1"/>
  <c r="K26" i="69"/>
  <c r="L1084" i="58"/>
  <c r="Q1069" s="1"/>
  <c r="L1506"/>
  <c r="Q1490" s="1"/>
  <c r="L544"/>
  <c r="Q523" s="1"/>
  <c r="L1316"/>
  <c r="Q1301" s="1"/>
  <c r="M26" i="69"/>
  <c r="M32"/>
  <c r="L1257" i="58"/>
  <c r="Q1242" s="1"/>
  <c r="L369"/>
  <c r="Q352" s="1"/>
  <c r="L1297"/>
  <c r="Q1281" s="1"/>
  <c r="L833"/>
  <c r="Q815" s="1"/>
  <c r="L1702"/>
  <c r="Q1689" s="1"/>
  <c r="L705"/>
  <c r="Q688" s="1"/>
  <c r="L1373"/>
  <c r="Q1358" s="1"/>
  <c r="L1183"/>
  <c r="Q1165" s="1"/>
  <c r="L1277"/>
  <c r="Q1261" s="1"/>
  <c r="L1354"/>
  <c r="Q1339" s="1"/>
  <c r="K32" i="69"/>
  <c r="B18" i="59"/>
  <c r="B65" i="11" l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8" s="1"/>
  <c r="B90" s="1"/>
  <c r="B92" s="1"/>
  <c r="A33" i="69"/>
  <c r="N26"/>
  <c r="N32"/>
  <c r="J18" i="59"/>
  <c r="I18"/>
  <c r="G18"/>
  <c r="H18"/>
  <c r="C18"/>
  <c r="F18"/>
  <c r="D4"/>
  <c r="E11" i="58" s="1"/>
  <c r="D5" i="59"/>
  <c r="E12" i="58" s="1"/>
  <c r="D6" i="59"/>
  <c r="E13" i="58" s="1"/>
  <c r="D7" i="59"/>
  <c r="E14" i="58" s="1"/>
  <c r="D8" i="59"/>
  <c r="E15" i="58" s="1"/>
  <c r="B4" i="59"/>
  <c r="C11" i="58" s="1"/>
  <c r="B5" i="59"/>
  <c r="C12" i="58" s="1"/>
  <c r="B6" i="59"/>
  <c r="C13" i="58" s="1"/>
  <c r="B7" i="59"/>
  <c r="C14" i="58" s="1"/>
  <c r="B8" i="59"/>
  <c r="C15" i="58" s="1"/>
  <c r="B94" i="11" l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O32" i="69"/>
  <c r="O26"/>
  <c r="M33"/>
  <c r="I33"/>
  <c r="J33"/>
  <c r="D33"/>
  <c r="C22" i="71" s="1"/>
  <c r="H33" i="69"/>
  <c r="B19" i="59"/>
  <c r="A34" i="69" s="1"/>
  <c r="B141" i="58"/>
  <c r="B134" i="11" l="1"/>
  <c r="B157" i="58"/>
  <c r="J19" i="59"/>
  <c r="I19"/>
  <c r="M34" i="69" s="1"/>
  <c r="K33"/>
  <c r="G19" i="59"/>
  <c r="J34" i="69" s="1"/>
  <c r="K34" s="1"/>
  <c r="H19" i="59"/>
  <c r="H34" i="69" s="1"/>
  <c r="B20" i="59"/>
  <c r="A35" i="69" s="1"/>
  <c r="C19" i="59"/>
  <c r="D34" i="69" s="1"/>
  <c r="C23" i="71" s="1"/>
  <c r="F19" i="59"/>
  <c r="I34" i="69" s="1"/>
  <c r="N34" l="1"/>
  <c r="O34" s="1"/>
  <c r="B135" i="11"/>
  <c r="B136" s="1"/>
  <c r="B137" s="1"/>
  <c r="B138" s="1"/>
  <c r="B139" s="1"/>
  <c r="B140" s="1"/>
  <c r="B141" s="1"/>
  <c r="B142" s="1"/>
  <c r="B143" s="1"/>
  <c r="B144" s="1"/>
  <c r="B145" s="1"/>
  <c r="B146" s="1"/>
  <c r="B147" s="1"/>
  <c r="B148" s="1"/>
  <c r="B149" s="1"/>
  <c r="B150" s="1"/>
  <c r="B151" s="1"/>
  <c r="B152" s="1"/>
  <c r="B153" s="1"/>
  <c r="B154" s="1"/>
  <c r="N33" i="69"/>
  <c r="I20" i="59"/>
  <c r="J20"/>
  <c r="H20"/>
  <c r="G20"/>
  <c r="C20"/>
  <c r="F20"/>
  <c r="O33" i="69" l="1"/>
  <c r="I35"/>
  <c r="J35"/>
  <c r="K35" s="1"/>
  <c r="L37" s="1"/>
  <c r="H26" i="67" s="1"/>
  <c r="D35" i="69"/>
  <c r="C24" i="71" s="1"/>
  <c r="H35" i="69"/>
  <c r="M35"/>
  <c r="N35" l="1"/>
  <c r="O35" s="1"/>
  <c r="O37" s="1"/>
  <c r="B177" i="58"/>
  <c r="B197" s="1"/>
  <c r="N37" i="69" l="1"/>
  <c r="B218" i="58"/>
  <c r="B21" i="59"/>
  <c r="A39" i="69" s="1"/>
  <c r="T33" i="11"/>
  <c r="S33"/>
  <c r="R33"/>
  <c r="J26" i="67" l="1"/>
  <c r="B24" i="59"/>
  <c r="B238" i="58"/>
  <c r="I21" i="59"/>
  <c r="J21"/>
  <c r="G21"/>
  <c r="H21"/>
  <c r="F21"/>
  <c r="C21"/>
  <c r="B258" i="58" l="1"/>
  <c r="B26" i="59" s="1"/>
  <c r="B25"/>
  <c r="C24"/>
  <c r="H24"/>
  <c r="F24"/>
  <c r="I24"/>
  <c r="J24"/>
  <c r="G24"/>
  <c r="B22"/>
  <c r="J22" l="1"/>
  <c r="I22"/>
  <c r="G22"/>
  <c r="H22"/>
  <c r="C22"/>
  <c r="F22"/>
  <c r="M39" i="69" l="1"/>
  <c r="J39"/>
  <c r="I39"/>
  <c r="D39"/>
  <c r="C28" i="71" s="1"/>
  <c r="H39" i="69"/>
  <c r="K39" l="1"/>
  <c r="N39" l="1"/>
  <c r="O39" l="1"/>
  <c r="B23" i="59"/>
  <c r="I23" l="1"/>
  <c r="J23"/>
  <c r="H23"/>
  <c r="G23"/>
  <c r="C23"/>
  <c r="F23"/>
  <c r="A40" i="69" l="1"/>
  <c r="J25" i="59"/>
  <c r="I25"/>
  <c r="G25"/>
  <c r="H25"/>
  <c r="F25"/>
  <c r="C25"/>
  <c r="H40" i="69" l="1"/>
  <c r="D40"/>
  <c r="C30" i="71" s="1"/>
  <c r="M40" i="69"/>
  <c r="I40"/>
  <c r="J40"/>
  <c r="K40" l="1"/>
  <c r="N40" l="1"/>
  <c r="O40" l="1"/>
  <c r="B277" i="58"/>
  <c r="B297" l="1"/>
  <c r="B27" i="59"/>
  <c r="I26"/>
  <c r="J26"/>
  <c r="G26"/>
  <c r="H26"/>
  <c r="F26"/>
  <c r="C26"/>
  <c r="B315" i="58" l="1"/>
  <c r="B28" i="59"/>
  <c r="A41" i="69"/>
  <c r="J27" i="59"/>
  <c r="I27"/>
  <c r="G27"/>
  <c r="H27"/>
  <c r="F27"/>
  <c r="C27"/>
  <c r="B29" l="1"/>
  <c r="B333" i="58"/>
  <c r="I41" i="69"/>
  <c r="J41"/>
  <c r="K41" s="1"/>
  <c r="D41"/>
  <c r="C50" i="71" s="1"/>
  <c r="H41" i="69"/>
  <c r="M41"/>
  <c r="B30" i="59" l="1"/>
  <c r="B352" i="58"/>
  <c r="C29" i="59"/>
  <c r="H29"/>
  <c r="I29"/>
  <c r="G29"/>
  <c r="J29"/>
  <c r="F29"/>
  <c r="N41" i="69"/>
  <c r="O41" s="1"/>
  <c r="B31" i="59" l="1"/>
  <c r="B373" i="58"/>
  <c r="B32" i="59" l="1"/>
  <c r="B394" i="58"/>
  <c r="B33" i="59" l="1"/>
  <c r="A71" i="69" s="1"/>
  <c r="B415" i="58"/>
  <c r="F32" i="59"/>
  <c r="H32"/>
  <c r="I32"/>
  <c r="J32"/>
  <c r="C32"/>
  <c r="G32"/>
  <c r="A42" i="69"/>
  <c r="I28" i="59"/>
  <c r="J28"/>
  <c r="H28"/>
  <c r="G28"/>
  <c r="C28"/>
  <c r="F28"/>
  <c r="A63" i="69" l="1"/>
  <c r="A59"/>
  <c r="A55"/>
  <c r="A67"/>
  <c r="B34" i="59"/>
  <c r="B436" i="58"/>
  <c r="D42" i="69"/>
  <c r="C57" i="71" s="1"/>
  <c r="M42" i="69"/>
  <c r="I42"/>
  <c r="H42"/>
  <c r="J42"/>
  <c r="B456" i="58" l="1"/>
  <c r="B36" i="59" s="1"/>
  <c r="B35"/>
  <c r="A72" i="69" s="1"/>
  <c r="F34" i="59"/>
  <c r="J34"/>
  <c r="G34"/>
  <c r="I34"/>
  <c r="H34"/>
  <c r="C34"/>
  <c r="K42" i="69"/>
  <c r="A68" l="1"/>
  <c r="A64"/>
  <c r="N42"/>
  <c r="O42" l="1"/>
  <c r="J30" i="59"/>
  <c r="I30"/>
  <c r="G30"/>
  <c r="H30"/>
  <c r="C30"/>
  <c r="F30"/>
  <c r="A53" i="69" l="1"/>
  <c r="I31" i="59"/>
  <c r="J31"/>
  <c r="G31"/>
  <c r="H31"/>
  <c r="C31"/>
  <c r="F31"/>
  <c r="D53" i="69" l="1"/>
  <c r="C102" i="71" s="1"/>
  <c r="M53" i="69"/>
  <c r="H53"/>
  <c r="I53"/>
  <c r="J53"/>
  <c r="K53" l="1"/>
  <c r="N53" l="1"/>
  <c r="O53" l="1"/>
  <c r="J33" i="59" l="1"/>
  <c r="I33"/>
  <c r="M71" i="69" s="1"/>
  <c r="G33" i="59"/>
  <c r="J71" i="69" s="1"/>
  <c r="K71" s="1"/>
  <c r="H33" i="59"/>
  <c r="H71" i="69" s="1"/>
  <c r="C33" i="59"/>
  <c r="D71" i="69" s="1"/>
  <c r="C134" i="71" s="1"/>
  <c r="F33" i="59"/>
  <c r="I71" i="69" s="1"/>
  <c r="N71" l="1"/>
  <c r="O71" s="1"/>
  <c r="D67"/>
  <c r="C124" i="71" s="1"/>
  <c r="J67" i="69"/>
  <c r="K67" s="1"/>
  <c r="I67"/>
  <c r="H67"/>
  <c r="M67"/>
  <c r="H59"/>
  <c r="M59"/>
  <c r="D59"/>
  <c r="C110" i="71" s="1"/>
  <c r="J59" i="69"/>
  <c r="I59"/>
  <c r="J55"/>
  <c r="M55"/>
  <c r="H55"/>
  <c r="D55"/>
  <c r="C104" i="71" s="1"/>
  <c r="I55" i="69"/>
  <c r="H63" l="1"/>
  <c r="N67"/>
  <c r="O67" s="1"/>
  <c r="I63"/>
  <c r="D63"/>
  <c r="C117" i="71" s="1"/>
  <c r="J63" i="69"/>
  <c r="K63" s="1"/>
  <c r="M63"/>
  <c r="K59"/>
  <c r="K55"/>
  <c r="N55" l="1"/>
  <c r="N59"/>
  <c r="O59" s="1"/>
  <c r="N63"/>
  <c r="O63" s="1"/>
  <c r="O55" l="1"/>
  <c r="A60" l="1"/>
  <c r="A56"/>
  <c r="I35" i="59"/>
  <c r="M72" i="69" s="1"/>
  <c r="J35" i="59"/>
  <c r="H35"/>
  <c r="H72" i="69" s="1"/>
  <c r="G35" i="59"/>
  <c r="J72" i="69" s="1"/>
  <c r="K72" s="1"/>
  <c r="C35" i="59"/>
  <c r="D72" i="69" s="1"/>
  <c r="C138" i="71" s="1"/>
  <c r="F35" i="59"/>
  <c r="I72" i="69" s="1"/>
  <c r="N72" l="1"/>
  <c r="O72" s="1"/>
  <c r="I68"/>
  <c r="J68"/>
  <c r="K68" s="1"/>
  <c r="D68"/>
  <c r="C127" i="71" s="1"/>
  <c r="H68" i="69"/>
  <c r="M68"/>
  <c r="D60"/>
  <c r="C112" i="71" s="1"/>
  <c r="J60" i="69"/>
  <c r="I60"/>
  <c r="H60"/>
  <c r="M60"/>
  <c r="M64"/>
  <c r="D64"/>
  <c r="C119" i="71" s="1"/>
  <c r="J64" i="69"/>
  <c r="H64"/>
  <c r="I64"/>
  <c r="M56"/>
  <c r="J56"/>
  <c r="D56"/>
  <c r="C106" i="71" s="1"/>
  <c r="H56" i="69"/>
  <c r="I56"/>
  <c r="N68" l="1"/>
  <c r="O68" s="1"/>
  <c r="K64"/>
  <c r="K60"/>
  <c r="B477" i="58"/>
  <c r="B37" i="59" s="1"/>
  <c r="N64" i="69" l="1"/>
  <c r="O64" s="1"/>
  <c r="N60"/>
  <c r="O60" s="1"/>
  <c r="J36" i="59"/>
  <c r="I36"/>
  <c r="G36"/>
  <c r="H36"/>
  <c r="B498" i="58"/>
  <c r="B38" i="59" s="1"/>
  <c r="C36"/>
  <c r="F36"/>
  <c r="I37" l="1"/>
  <c r="J37"/>
  <c r="G37"/>
  <c r="H37"/>
  <c r="F37"/>
  <c r="C37"/>
  <c r="B523" i="58" l="1"/>
  <c r="B39" i="59" s="1"/>
  <c r="J38" l="1"/>
  <c r="I38"/>
  <c r="G38"/>
  <c r="H38"/>
  <c r="C38"/>
  <c r="F38"/>
  <c r="B548" i="58"/>
  <c r="B40" i="59" s="1"/>
  <c r="B572" i="58" l="1"/>
  <c r="I39" i="59"/>
  <c r="J39"/>
  <c r="H39"/>
  <c r="G39"/>
  <c r="F39"/>
  <c r="C39"/>
  <c r="B593" i="58" l="1"/>
  <c r="B41" i="59"/>
  <c r="J40"/>
  <c r="I40"/>
  <c r="G40"/>
  <c r="H40"/>
  <c r="C40"/>
  <c r="F40"/>
  <c r="B613" i="58" l="1"/>
  <c r="B42" i="59"/>
  <c r="C41"/>
  <c r="H41"/>
  <c r="F41"/>
  <c r="I41"/>
  <c r="J41"/>
  <c r="G41"/>
  <c r="J42" l="1"/>
  <c r="A69" i="69"/>
  <c r="A65"/>
  <c r="A61"/>
  <c r="A57"/>
  <c r="A73"/>
  <c r="F42" i="59"/>
  <c r="I73" i="69" s="1"/>
  <c r="H42" i="59"/>
  <c r="H73" i="69" s="1"/>
  <c r="C42" i="59"/>
  <c r="D73" i="69" s="1"/>
  <c r="C145" i="71" s="1"/>
  <c r="B43" i="59"/>
  <c r="B632" i="58"/>
  <c r="G42" i="59"/>
  <c r="J73" i="69" s="1"/>
  <c r="K73" s="1"/>
  <c r="I42" i="59"/>
  <c r="M69" i="69" s="1"/>
  <c r="H69" l="1"/>
  <c r="I57"/>
  <c r="H57"/>
  <c r="D69"/>
  <c r="C132" i="71" s="1"/>
  <c r="I69" i="69"/>
  <c r="D57"/>
  <c r="C108" i="71" s="1"/>
  <c r="J69" i="69"/>
  <c r="K69" s="1"/>
  <c r="N69" s="1"/>
  <c r="O69" s="1"/>
  <c r="M73"/>
  <c r="N73" s="1"/>
  <c r="O73" s="1"/>
  <c r="M57"/>
  <c r="J57"/>
  <c r="B44" i="59"/>
  <c r="B651" i="58"/>
  <c r="A111" i="69"/>
  <c r="I43" i="59"/>
  <c r="J43"/>
  <c r="H43"/>
  <c r="G43"/>
  <c r="C43"/>
  <c r="F43"/>
  <c r="B45" l="1"/>
  <c r="G45" s="1"/>
  <c r="B670" i="58"/>
  <c r="F44" i="59"/>
  <c r="H44"/>
  <c r="G44"/>
  <c r="I44"/>
  <c r="J44"/>
  <c r="C44"/>
  <c r="J45"/>
  <c r="I45" l="1"/>
  <c r="C45"/>
  <c r="F45"/>
  <c r="H45"/>
  <c r="B46"/>
  <c r="B688" i="58"/>
  <c r="B47" i="59" l="1"/>
  <c r="A110" i="69" s="1"/>
  <c r="B709" i="58"/>
  <c r="A112" i="69"/>
  <c r="H47" i="59" l="1"/>
  <c r="J47"/>
  <c r="G47"/>
  <c r="I47"/>
  <c r="F47"/>
  <c r="C47"/>
  <c r="B729" i="58"/>
  <c r="B49" i="59" s="1"/>
  <c r="B48"/>
  <c r="A92" i="69" l="1"/>
  <c r="I48" i="59"/>
  <c r="J48"/>
  <c r="H48"/>
  <c r="G48"/>
  <c r="C48"/>
  <c r="F48"/>
  <c r="B750" i="58"/>
  <c r="B50" i="59" s="1"/>
  <c r="A93" i="69" s="1"/>
  <c r="B772" i="58" l="1"/>
  <c r="B51" i="59" s="1"/>
  <c r="J49"/>
  <c r="I49"/>
  <c r="G49"/>
  <c r="H49"/>
  <c r="C49"/>
  <c r="F49"/>
  <c r="F51" l="1"/>
  <c r="H51"/>
  <c r="C51"/>
  <c r="A94" i="69"/>
  <c r="J51" i="59"/>
  <c r="G51"/>
  <c r="I51"/>
  <c r="B794" i="58"/>
  <c r="B52" i="59" s="1"/>
  <c r="I50"/>
  <c r="M93" i="69" s="1"/>
  <c r="J50" i="59"/>
  <c r="H50"/>
  <c r="H93" i="69" s="1"/>
  <c r="G50" i="59"/>
  <c r="J93" i="69" s="1"/>
  <c r="K93" s="1"/>
  <c r="C50" i="59"/>
  <c r="D93" i="69" s="1"/>
  <c r="C172" i="71" s="1"/>
  <c r="F50" i="59"/>
  <c r="I93" i="69" s="1"/>
  <c r="N93" l="1"/>
  <c r="O93" s="1"/>
  <c r="B815" i="58"/>
  <c r="B837" l="1"/>
  <c r="B53" i="59"/>
  <c r="A95" i="69" s="1"/>
  <c r="J52" i="59"/>
  <c r="H52"/>
  <c r="C52"/>
  <c r="F52"/>
  <c r="G52"/>
  <c r="I52"/>
  <c r="B855" i="58" l="1"/>
  <c r="B54" i="59"/>
  <c r="C54" s="1"/>
  <c r="J53"/>
  <c r="I53"/>
  <c r="C53"/>
  <c r="F53"/>
  <c r="G53"/>
  <c r="H53"/>
  <c r="A96" i="69"/>
  <c r="H54" i="59" l="1"/>
  <c r="H96" i="69" s="1"/>
  <c r="G54" i="59"/>
  <c r="J96" i="69" s="1"/>
  <c r="K96" s="1"/>
  <c r="I54" i="59"/>
  <c r="M96" i="69" s="1"/>
  <c r="J54" i="59"/>
  <c r="F54"/>
  <c r="B877" i="58"/>
  <c r="B55" i="59"/>
  <c r="A119" i="69" s="1"/>
  <c r="D96"/>
  <c r="C175" i="71" l="1"/>
  <c r="B899" i="58"/>
  <c r="B56" i="59"/>
  <c r="I96" i="69"/>
  <c r="J55" i="59"/>
  <c r="I55"/>
  <c r="G55"/>
  <c r="C55"/>
  <c r="F55"/>
  <c r="H55"/>
  <c r="N96" i="69"/>
  <c r="O96" s="1"/>
  <c r="F56" i="59" l="1"/>
  <c r="H56"/>
  <c r="A48" i="69"/>
  <c r="G56" i="59"/>
  <c r="C56"/>
  <c r="J56"/>
  <c r="I56"/>
  <c r="B57"/>
  <c r="B921" i="58"/>
  <c r="I57" i="59" l="1"/>
  <c r="J57"/>
  <c r="B943" i="58"/>
  <c r="B58" i="59"/>
  <c r="G57"/>
  <c r="H57"/>
  <c r="C57"/>
  <c r="F57"/>
  <c r="B59" l="1"/>
  <c r="B964" i="58"/>
  <c r="B985" l="1"/>
  <c r="B60" i="59"/>
  <c r="F59"/>
  <c r="C59"/>
  <c r="G59"/>
  <c r="J59"/>
  <c r="I59"/>
  <c r="H59"/>
  <c r="I58"/>
  <c r="J58"/>
  <c r="H58"/>
  <c r="G58"/>
  <c r="C58"/>
  <c r="F58"/>
  <c r="B61" l="1"/>
  <c r="B1006" i="58"/>
  <c r="A45" i="69"/>
  <c r="I60" i="59"/>
  <c r="J60"/>
  <c r="G60"/>
  <c r="H60"/>
  <c r="F60"/>
  <c r="C60"/>
  <c r="B62" l="1"/>
  <c r="A47" i="69" s="1"/>
  <c r="B1027" i="58"/>
  <c r="M45" i="69"/>
  <c r="J45"/>
  <c r="K45" s="1"/>
  <c r="D45"/>
  <c r="C83" i="71" s="1"/>
  <c r="I45" i="69"/>
  <c r="H45"/>
  <c r="A46"/>
  <c r="H48"/>
  <c r="D48"/>
  <c r="C98" i="71" s="1"/>
  <c r="M48" i="69"/>
  <c r="J48"/>
  <c r="K48" s="1"/>
  <c r="I48"/>
  <c r="J61" i="59"/>
  <c r="I61"/>
  <c r="G61"/>
  <c r="H61"/>
  <c r="F61"/>
  <c r="C61"/>
  <c r="B1048" i="58" l="1"/>
  <c r="B63" i="59"/>
  <c r="J62"/>
  <c r="I62"/>
  <c r="M47" i="69" s="1"/>
  <c r="H62" i="59"/>
  <c r="H47" i="69" s="1"/>
  <c r="F62" i="59"/>
  <c r="I47" i="69" s="1"/>
  <c r="G62" i="59"/>
  <c r="J47" i="69" s="1"/>
  <c r="K47" s="1"/>
  <c r="C62" i="59"/>
  <c r="N45" i="69"/>
  <c r="O45" s="1"/>
  <c r="N48"/>
  <c r="O48" s="1"/>
  <c r="D46"/>
  <c r="C87" i="71" s="1"/>
  <c r="H46" i="69"/>
  <c r="M46"/>
  <c r="I46"/>
  <c r="J46"/>
  <c r="K46" s="1"/>
  <c r="I63" i="59"/>
  <c r="J63"/>
  <c r="H63"/>
  <c r="G63"/>
  <c r="F63"/>
  <c r="C63"/>
  <c r="D47" i="69" l="1"/>
  <c r="C92" i="71" s="1"/>
  <c r="N47" i="69"/>
  <c r="O47" s="1"/>
  <c r="B1069" i="58"/>
  <c r="B65" i="59" s="1"/>
  <c r="A117" i="69" s="1"/>
  <c r="B64" i="59"/>
  <c r="N46" i="69"/>
  <c r="O46" s="1"/>
  <c r="J64" i="59" l="1"/>
  <c r="I64"/>
  <c r="G64"/>
  <c r="H64"/>
  <c r="C64"/>
  <c r="F64"/>
  <c r="B1088" i="58" l="1"/>
  <c r="B1107" l="1"/>
  <c r="B66" i="59"/>
  <c r="A118" i="69" s="1"/>
  <c r="I65" i="59"/>
  <c r="J65"/>
  <c r="H65"/>
  <c r="G65"/>
  <c r="F65"/>
  <c r="C65"/>
  <c r="B1125" i="58" l="1"/>
  <c r="B68" i="59" s="1"/>
  <c r="B67"/>
  <c r="J66"/>
  <c r="I66"/>
  <c r="M118" i="69" s="1"/>
  <c r="G66" i="59"/>
  <c r="J118" i="69" s="1"/>
  <c r="K118" s="1"/>
  <c r="H66" i="59"/>
  <c r="H118" i="69" s="1"/>
  <c r="C66" i="59"/>
  <c r="D118" i="69" s="1"/>
  <c r="F66" i="59"/>
  <c r="I118" i="69" s="1"/>
  <c r="N118" l="1"/>
  <c r="O118" s="1"/>
  <c r="I67" i="59"/>
  <c r="J67"/>
  <c r="G67"/>
  <c r="H67"/>
  <c r="B1145" i="58"/>
  <c r="F67" i="59"/>
  <c r="C67"/>
  <c r="B1165" i="58" l="1"/>
  <c r="B69" i="59"/>
  <c r="A103" i="69" s="1"/>
  <c r="B1187" i="58" l="1"/>
  <c r="B70" i="59"/>
  <c r="I69"/>
  <c r="J69"/>
  <c r="J68"/>
  <c r="I68"/>
  <c r="G68"/>
  <c r="H68"/>
  <c r="G69"/>
  <c r="H69"/>
  <c r="C68"/>
  <c r="F68"/>
  <c r="C69"/>
  <c r="D103" i="69" s="1"/>
  <c r="C182" i="71" s="1"/>
  <c r="F69" i="59"/>
  <c r="B71" l="1"/>
  <c r="B1205" i="58"/>
  <c r="B72" i="59" l="1"/>
  <c r="B1223" i="58"/>
  <c r="J70" i="59"/>
  <c r="I70"/>
  <c r="G70"/>
  <c r="H70"/>
  <c r="F70"/>
  <c r="C70"/>
  <c r="B73" l="1"/>
  <c r="B1242" i="58"/>
  <c r="B74" i="59" s="1"/>
  <c r="C72"/>
  <c r="F72"/>
  <c r="J72"/>
  <c r="G72"/>
  <c r="H72"/>
  <c r="I72"/>
  <c r="J73" l="1"/>
  <c r="I73"/>
  <c r="G73"/>
  <c r="H73"/>
  <c r="C73"/>
  <c r="F73"/>
  <c r="A104" i="69"/>
  <c r="I71" i="59"/>
  <c r="J71"/>
  <c r="H71"/>
  <c r="G71"/>
  <c r="F71"/>
  <c r="C71"/>
  <c r="D104" i="69" l="1"/>
  <c r="C183" i="71" s="1"/>
  <c r="J104" i="69"/>
  <c r="K104" s="1"/>
  <c r="I104"/>
  <c r="H104"/>
  <c r="M104"/>
  <c r="B1261" i="58"/>
  <c r="B75" i="59" s="1"/>
  <c r="N104" i="69" l="1"/>
  <c r="O104" s="1"/>
  <c r="A100"/>
  <c r="J74" i="59"/>
  <c r="I74"/>
  <c r="G74"/>
  <c r="H74"/>
  <c r="C74"/>
  <c r="F74"/>
  <c r="B1281" i="58"/>
  <c r="B76" i="59" s="1"/>
  <c r="I75" l="1"/>
  <c r="J75"/>
  <c r="G75"/>
  <c r="H75"/>
  <c r="B1301" i="58"/>
  <c r="B77" i="59" s="1"/>
  <c r="C75"/>
  <c r="F75"/>
  <c r="J76" l="1"/>
  <c r="I76"/>
  <c r="H76"/>
  <c r="G76"/>
  <c r="C76"/>
  <c r="F76"/>
  <c r="B1320" i="58"/>
  <c r="B78" i="59" s="1"/>
  <c r="I77" l="1"/>
  <c r="J77"/>
  <c r="G77"/>
  <c r="H77"/>
  <c r="B1339" i="58"/>
  <c r="B79" i="59" s="1"/>
  <c r="C77"/>
  <c r="F77"/>
  <c r="J78" l="1"/>
  <c r="I78"/>
  <c r="H78"/>
  <c r="G78"/>
  <c r="C78"/>
  <c r="F78"/>
  <c r="B1358" i="58"/>
  <c r="B1377" l="1"/>
  <c r="B81" i="59" s="1"/>
  <c r="B80"/>
  <c r="A101" i="69"/>
  <c r="I79" i="59"/>
  <c r="J79"/>
  <c r="G79"/>
  <c r="H79"/>
  <c r="C79"/>
  <c r="F79"/>
  <c r="B1396" i="58" l="1"/>
  <c r="B82" i="59" s="1"/>
  <c r="H101" i="69"/>
  <c r="D101"/>
  <c r="C180" i="71" s="1"/>
  <c r="I101" i="69"/>
  <c r="J101"/>
  <c r="K101" s="1"/>
  <c r="M101"/>
  <c r="A102"/>
  <c r="J80" i="59"/>
  <c r="I80"/>
  <c r="H80"/>
  <c r="G80"/>
  <c r="C80"/>
  <c r="F80"/>
  <c r="B1415" i="58" l="1"/>
  <c r="B1434"/>
  <c r="B84" i="59" s="1"/>
  <c r="B83"/>
  <c r="A105" i="69" s="1"/>
  <c r="D102"/>
  <c r="C181" i="71" s="1"/>
  <c r="N101" i="69"/>
  <c r="O101" s="1"/>
  <c r="I102"/>
  <c r="J102"/>
  <c r="K102" s="1"/>
  <c r="M102"/>
  <c r="H102"/>
  <c r="J82" i="59"/>
  <c r="I82"/>
  <c r="G82"/>
  <c r="H82"/>
  <c r="F82"/>
  <c r="C82"/>
  <c r="B1453" i="58" l="1"/>
  <c r="B85" i="59" s="1"/>
  <c r="N102" i="69"/>
  <c r="O102" s="1"/>
  <c r="F84" i="59"/>
  <c r="C84"/>
  <c r="H84"/>
  <c r="J84"/>
  <c r="I84"/>
  <c r="G84"/>
  <c r="I83"/>
  <c r="J83"/>
  <c r="G83"/>
  <c r="H83"/>
  <c r="C83"/>
  <c r="F83"/>
  <c r="B1471" i="58" l="1"/>
  <c r="B86" i="59" s="1"/>
  <c r="D105" i="69"/>
  <c r="C184" i="71" s="1"/>
  <c r="J105" i="69"/>
  <c r="K105" s="1"/>
  <c r="M105"/>
  <c r="I103"/>
  <c r="I105"/>
  <c r="H103"/>
  <c r="H105"/>
  <c r="J103"/>
  <c r="K103" s="1"/>
  <c r="M103"/>
  <c r="C85" i="59"/>
  <c r="F85"/>
  <c r="H85"/>
  <c r="J85"/>
  <c r="I85"/>
  <c r="G85"/>
  <c r="B1490" i="58" l="1"/>
  <c r="B87" i="59" s="1"/>
  <c r="A125" i="69" s="1"/>
  <c r="N105"/>
  <c r="O105" s="1"/>
  <c r="N103"/>
  <c r="O103" s="1"/>
  <c r="J86" i="59" l="1"/>
  <c r="I86"/>
  <c r="H86"/>
  <c r="G86"/>
  <c r="F86"/>
  <c r="C86"/>
  <c r="D95" i="69" l="1"/>
  <c r="J95"/>
  <c r="K95" s="1"/>
  <c r="M95"/>
  <c r="I95"/>
  <c r="H95"/>
  <c r="B1510" i="58"/>
  <c r="B88" i="59" s="1"/>
  <c r="C174" i="71" l="1"/>
  <c r="A123" i="69"/>
  <c r="N95"/>
  <c r="O95" s="1"/>
  <c r="B1530" i="58"/>
  <c r="B89" i="59" s="1"/>
  <c r="I87"/>
  <c r="M110" i="69" s="1"/>
  <c r="J87" i="59"/>
  <c r="G87"/>
  <c r="J110" i="69" s="1"/>
  <c r="K110" s="1"/>
  <c r="H87" i="59"/>
  <c r="H110" i="69" s="1"/>
  <c r="F87" i="59"/>
  <c r="I110" i="69" s="1"/>
  <c r="C87" i="59"/>
  <c r="D110" i="69" s="1"/>
  <c r="C189" i="71" s="1"/>
  <c r="N110" i="69" l="1"/>
  <c r="O110" s="1"/>
  <c r="D123"/>
  <c r="C201" i="71" s="1"/>
  <c r="A124" i="69"/>
  <c r="I123"/>
  <c r="J123"/>
  <c r="M123"/>
  <c r="H123"/>
  <c r="B1554" i="58"/>
  <c r="B90" i="59" s="1"/>
  <c r="J88"/>
  <c r="I88"/>
  <c r="M111" i="69" s="1"/>
  <c r="G88" i="59"/>
  <c r="J111" i="69" s="1"/>
  <c r="K111" s="1"/>
  <c r="H88" i="59"/>
  <c r="H111" i="69" s="1"/>
  <c r="C88" i="59"/>
  <c r="D111" i="69" s="1"/>
  <c r="C190" i="71" s="1"/>
  <c r="F88" i="59"/>
  <c r="I111" i="69" s="1"/>
  <c r="K123" l="1"/>
  <c r="N111"/>
  <c r="D124"/>
  <c r="C202" i="71" s="1"/>
  <c r="J124" i="69"/>
  <c r="K124" s="1"/>
  <c r="I124"/>
  <c r="H124"/>
  <c r="M124"/>
  <c r="B1574" i="58"/>
  <c r="B91" i="59" s="1"/>
  <c r="A81" i="69" s="1"/>
  <c r="C89" i="59"/>
  <c r="F89"/>
  <c r="H89"/>
  <c r="J89"/>
  <c r="I89"/>
  <c r="G89"/>
  <c r="N123" i="69" l="1"/>
  <c r="O123" s="1"/>
  <c r="O111"/>
  <c r="N124"/>
  <c r="C90" i="59"/>
  <c r="F90"/>
  <c r="H90"/>
  <c r="G90"/>
  <c r="J90"/>
  <c r="I90"/>
  <c r="B1595" i="58"/>
  <c r="B92" i="59" s="1"/>
  <c r="A82" i="69" s="1"/>
  <c r="O124" l="1"/>
  <c r="B1615" i="58"/>
  <c r="B1635" l="1"/>
  <c r="B93" i="59"/>
  <c r="I91"/>
  <c r="J91"/>
  <c r="J92"/>
  <c r="I92"/>
  <c r="M82" i="69" s="1"/>
  <c r="C91" i="59"/>
  <c r="G91"/>
  <c r="H91"/>
  <c r="G92"/>
  <c r="J82" i="69" s="1"/>
  <c r="K82" s="1"/>
  <c r="H92" i="59"/>
  <c r="H82" i="69" s="1"/>
  <c r="F91" i="59"/>
  <c r="F92"/>
  <c r="I82" i="69" s="1"/>
  <c r="C92" i="59"/>
  <c r="D82" i="69" s="1"/>
  <c r="C158" i="71" s="1"/>
  <c r="N82" i="69" l="1"/>
  <c r="O82" s="1"/>
  <c r="B1655" i="58"/>
  <c r="B95" i="59" s="1"/>
  <c r="B94"/>
  <c r="I81" i="69"/>
  <c r="J81"/>
  <c r="K81" s="1"/>
  <c r="M81"/>
  <c r="D81"/>
  <c r="H81"/>
  <c r="J94" i="59"/>
  <c r="I93"/>
  <c r="J93"/>
  <c r="G93"/>
  <c r="H93"/>
  <c r="C93"/>
  <c r="F93"/>
  <c r="C157" i="71" l="1"/>
  <c r="H94" i="59"/>
  <c r="F94"/>
  <c r="C94"/>
  <c r="I94"/>
  <c r="A83" i="69"/>
  <c r="G94" i="59"/>
  <c r="N81" i="69"/>
  <c r="O81" s="1"/>
  <c r="J83" l="1"/>
  <c r="K83" s="1"/>
  <c r="I83"/>
  <c r="H83"/>
  <c r="D83"/>
  <c r="M83"/>
  <c r="N83" l="1"/>
  <c r="O83" s="1"/>
  <c r="C159" i="71"/>
  <c r="B1672" i="58"/>
  <c r="B96" i="59" s="1"/>
  <c r="A84" i="69" l="1"/>
  <c r="I95" i="59"/>
  <c r="J95"/>
  <c r="G95"/>
  <c r="H95"/>
  <c r="B1689" i="58"/>
  <c r="C95" i="59"/>
  <c r="F95"/>
  <c r="B1706" i="58" l="1"/>
  <c r="B97" i="59"/>
  <c r="A85" i="69"/>
  <c r="I84"/>
  <c r="H84"/>
  <c r="D84"/>
  <c r="J84"/>
  <c r="K84" s="1"/>
  <c r="M84"/>
  <c r="J96" i="59"/>
  <c r="I96"/>
  <c r="G96"/>
  <c r="H96"/>
  <c r="C96"/>
  <c r="F96"/>
  <c r="C160" i="71" l="1"/>
  <c r="B1723" i="58"/>
  <c r="B98" i="59"/>
  <c r="H98" s="1"/>
  <c r="A86" i="69"/>
  <c r="I85"/>
  <c r="H85"/>
  <c r="M85"/>
  <c r="D85"/>
  <c r="J85"/>
  <c r="K85" s="1"/>
  <c r="N84"/>
  <c r="O84" s="1"/>
  <c r="I97" i="59"/>
  <c r="J97"/>
  <c r="G97"/>
  <c r="H97"/>
  <c r="C97"/>
  <c r="F97"/>
  <c r="G98" l="1"/>
  <c r="C161" i="71"/>
  <c r="F98" i="59"/>
  <c r="C98"/>
  <c r="J98"/>
  <c r="I98"/>
  <c r="B99"/>
  <c r="B1741" i="58"/>
  <c r="N85" i="69"/>
  <c r="O85" s="1"/>
  <c r="I86"/>
  <c r="H86"/>
  <c r="D86"/>
  <c r="J86"/>
  <c r="K86" s="1"/>
  <c r="M86"/>
  <c r="C162" i="71" l="1"/>
  <c r="B1756" i="58"/>
  <c r="B101" i="59" s="1"/>
  <c r="B100"/>
  <c r="A78" i="69" s="1"/>
  <c r="N86"/>
  <c r="O86" s="1"/>
  <c r="B1774" i="58" l="1"/>
  <c r="B102" i="59" s="1"/>
  <c r="B1792" i="58"/>
  <c r="B103" i="59" s="1"/>
  <c r="A88" i="69"/>
  <c r="A77"/>
  <c r="H101" i="59"/>
  <c r="F101"/>
  <c r="C101"/>
  <c r="J101"/>
  <c r="I101"/>
  <c r="G101"/>
  <c r="I99"/>
  <c r="J99"/>
  <c r="G99"/>
  <c r="H99"/>
  <c r="F99"/>
  <c r="C99"/>
  <c r="B1810" i="58" l="1"/>
  <c r="B104" i="59" s="1"/>
  <c r="A87" i="69"/>
  <c r="J88"/>
  <c r="K88" s="1"/>
  <c r="I88"/>
  <c r="M88"/>
  <c r="D88"/>
  <c r="C164" i="71" s="1"/>
  <c r="H88" i="69"/>
  <c r="C102" i="59"/>
  <c r="H102"/>
  <c r="F102"/>
  <c r="J102"/>
  <c r="I102"/>
  <c r="G102"/>
  <c r="B1829" i="58" l="1"/>
  <c r="B105" i="59" s="1"/>
  <c r="G103"/>
  <c r="H103"/>
  <c r="I103"/>
  <c r="J103"/>
  <c r="C103"/>
  <c r="F103"/>
  <c r="N88" i="69"/>
  <c r="O88" s="1"/>
  <c r="M87"/>
  <c r="I87"/>
  <c r="D87"/>
  <c r="J87"/>
  <c r="K87" s="1"/>
  <c r="H87"/>
  <c r="C163" i="71" l="1"/>
  <c r="I104" i="59"/>
  <c r="H104"/>
  <c r="J104"/>
  <c r="C104"/>
  <c r="F104"/>
  <c r="G104"/>
  <c r="B1847" i="58"/>
  <c r="B106" i="59" s="1"/>
  <c r="N87" i="69"/>
  <c r="O87" s="1"/>
  <c r="B1866" i="58" l="1"/>
  <c r="B107" i="59" s="1"/>
  <c r="H105"/>
  <c r="C105"/>
  <c r="I105"/>
  <c r="J105"/>
  <c r="G105"/>
  <c r="F105"/>
  <c r="I106" l="1"/>
  <c r="J106"/>
  <c r="C106"/>
  <c r="F106"/>
  <c r="G106"/>
  <c r="H106"/>
  <c r="B1890" i="58"/>
  <c r="B108" i="59" s="1"/>
  <c r="I81"/>
  <c r="J81"/>
  <c r="H81"/>
  <c r="C81"/>
  <c r="F81"/>
  <c r="G81"/>
  <c r="B1911" i="58" l="1"/>
  <c r="B109" i="59" s="1"/>
  <c r="I107"/>
  <c r="G107"/>
  <c r="C107"/>
  <c r="F107"/>
  <c r="J107"/>
  <c r="H107"/>
  <c r="J108" l="1"/>
  <c r="A44" i="69"/>
  <c r="G108" i="59"/>
  <c r="I108"/>
  <c r="C108"/>
  <c r="F108"/>
  <c r="H108"/>
  <c r="B1931" i="58"/>
  <c r="B110" i="59" s="1"/>
  <c r="B1951" i="58" l="1"/>
  <c r="B111" i="59" s="1"/>
  <c r="F109"/>
  <c r="J109"/>
  <c r="G109"/>
  <c r="I109"/>
  <c r="C109"/>
  <c r="H109"/>
  <c r="I44" i="69"/>
  <c r="J44"/>
  <c r="K44" s="1"/>
  <c r="M44"/>
  <c r="H44"/>
  <c r="D44"/>
  <c r="C75" i="71" s="1"/>
  <c r="N44" i="69" l="1"/>
  <c r="O44" s="1"/>
  <c r="H110" i="59"/>
  <c r="J110"/>
  <c r="C110"/>
  <c r="F110"/>
  <c r="I110"/>
  <c r="G110"/>
  <c r="B1976" i="58"/>
  <c r="B112" i="59" l="1"/>
  <c r="B113" s="1"/>
  <c r="B114" s="1"/>
  <c r="B115" s="1"/>
  <c r="B116" s="1"/>
  <c r="B117" s="1"/>
  <c r="J100"/>
  <c r="I100"/>
  <c r="G100"/>
  <c r="H100"/>
  <c r="C100"/>
  <c r="F100"/>
  <c r="J46"/>
  <c r="C46"/>
  <c r="I46"/>
  <c r="G46"/>
  <c r="F46"/>
  <c r="H46"/>
  <c r="G111"/>
  <c r="H111"/>
  <c r="J111"/>
  <c r="I111"/>
  <c r="C111"/>
  <c r="F111"/>
  <c r="I112"/>
  <c r="J112"/>
  <c r="G112"/>
  <c r="F112"/>
  <c r="H112"/>
  <c r="I78" i="69" l="1"/>
  <c r="D78"/>
  <c r="C154" i="71" s="1"/>
  <c r="H78" i="69"/>
  <c r="J78"/>
  <c r="K78" s="1"/>
  <c r="M78"/>
  <c r="N78" l="1"/>
  <c r="O78" s="1"/>
  <c r="A27"/>
  <c r="I125"/>
  <c r="J125"/>
  <c r="K125" s="1"/>
  <c r="L127" s="1"/>
  <c r="H34" i="67" s="1"/>
  <c r="H125" i="69"/>
  <c r="M125"/>
  <c r="N125" l="1"/>
  <c r="N127" s="1"/>
  <c r="A43"/>
  <c r="M92"/>
  <c r="O125" l="1"/>
  <c r="O127" s="1"/>
  <c r="D43"/>
  <c r="C59" i="71" s="1"/>
  <c r="H43" i="69"/>
  <c r="M43"/>
  <c r="I43"/>
  <c r="J43"/>
  <c r="K43" s="1"/>
  <c r="L50" s="1"/>
  <c r="H27" i="67" s="1"/>
  <c r="M127" i="69"/>
  <c r="I34" i="67" s="1"/>
  <c r="J34"/>
  <c r="H92" i="69"/>
  <c r="I92"/>
  <c r="D92"/>
  <c r="J92"/>
  <c r="C168" i="71" l="1"/>
  <c r="N43" i="69"/>
  <c r="N50" s="1"/>
  <c r="B118" i="59"/>
  <c r="K92" i="69"/>
  <c r="B119" i="59" l="1"/>
  <c r="A116" i="69"/>
  <c r="O43"/>
  <c r="O50" s="1"/>
  <c r="J27" i="67"/>
  <c r="M50" i="69"/>
  <c r="I27" i="67" s="1"/>
  <c r="N92" i="69"/>
  <c r="O92" s="1"/>
  <c r="B120" i="59" l="1"/>
  <c r="A106" i="69" s="1"/>
  <c r="H106" l="1"/>
  <c r="M106"/>
  <c r="I106"/>
  <c r="D106"/>
  <c r="C185" i="71" s="1"/>
  <c r="J106" i="69"/>
  <c r="K106" s="1"/>
  <c r="D112"/>
  <c r="C191" i="71" s="1"/>
  <c r="J112" i="69"/>
  <c r="K112" s="1"/>
  <c r="L114" s="1"/>
  <c r="H32" i="67" s="1"/>
  <c r="I112" i="69"/>
  <c r="M112"/>
  <c r="H112"/>
  <c r="B121" i="59"/>
  <c r="B122" s="1"/>
  <c r="N106" i="69" l="1"/>
  <c r="O106" s="1"/>
  <c r="B123" i="59"/>
  <c r="N112" i="69"/>
  <c r="N114" s="1"/>
  <c r="B124" i="59" l="1"/>
  <c r="B125" s="1"/>
  <c r="B126" s="1"/>
  <c r="M114" i="69"/>
  <c r="O112"/>
  <c r="O114" s="1"/>
  <c r="A79" l="1"/>
  <c r="B127" i="59"/>
  <c r="B128" l="1"/>
  <c r="A80" i="69"/>
  <c r="I27"/>
  <c r="D116"/>
  <c r="C195" i="71" s="1"/>
  <c r="I116" i="69"/>
  <c r="J116"/>
  <c r="M116"/>
  <c r="H116"/>
  <c r="D94"/>
  <c r="D100"/>
  <c r="C179" i="71" s="1"/>
  <c r="H100" i="69"/>
  <c r="M100"/>
  <c r="J100"/>
  <c r="I100"/>
  <c r="M94"/>
  <c r="J94"/>
  <c r="H94"/>
  <c r="I94"/>
  <c r="I61"/>
  <c r="M61"/>
  <c r="J61"/>
  <c r="H61"/>
  <c r="D65"/>
  <c r="C122" i="71" s="1"/>
  <c r="J65" i="69"/>
  <c r="M65"/>
  <c r="H65"/>
  <c r="I65"/>
  <c r="D61"/>
  <c r="C115" i="71" s="1"/>
  <c r="C173" l="1"/>
  <c r="B129" i="59"/>
  <c r="H27" i="69"/>
  <c r="D27"/>
  <c r="C15" i="71" s="1"/>
  <c r="M27" i="69"/>
  <c r="K27"/>
  <c r="K116"/>
  <c r="K94"/>
  <c r="L98" s="1"/>
  <c r="H30" i="67" s="1"/>
  <c r="K100" i="69"/>
  <c r="L108" s="1"/>
  <c r="H31" i="67" s="1"/>
  <c r="K65" i="69"/>
  <c r="K61"/>
  <c r="B130" i="59" l="1"/>
  <c r="N61" i="69"/>
  <c r="O61" s="1"/>
  <c r="N65"/>
  <c r="O65" s="1"/>
  <c r="N116"/>
  <c r="O116" s="1"/>
  <c r="N100"/>
  <c r="O100" s="1"/>
  <c r="N94"/>
  <c r="N27"/>
  <c r="A28" l="1"/>
  <c r="B131" i="59"/>
  <c r="D80" i="69"/>
  <c r="D79"/>
  <c r="M79"/>
  <c r="J79"/>
  <c r="K79" s="1"/>
  <c r="H79"/>
  <c r="I80"/>
  <c r="I79"/>
  <c r="M80"/>
  <c r="H80"/>
  <c r="J80"/>
  <c r="K80" s="1"/>
  <c r="H77"/>
  <c r="J77"/>
  <c r="K77" s="1"/>
  <c r="M77"/>
  <c r="I77"/>
  <c r="D77"/>
  <c r="O94"/>
  <c r="O27"/>
  <c r="K56"/>
  <c r="K57"/>
  <c r="L75" l="1"/>
  <c r="H28" i="67" s="1"/>
  <c r="L90" i="69"/>
  <c r="C156" i="71"/>
  <c r="B132" i="59"/>
  <c r="H28" i="69"/>
  <c r="I28"/>
  <c r="M28"/>
  <c r="K28"/>
  <c r="L30" s="1"/>
  <c r="H25" i="67" s="1"/>
  <c r="D28" i="69"/>
  <c r="C16" i="71" s="1"/>
  <c r="C153"/>
  <c r="C155"/>
  <c r="N79" i="69"/>
  <c r="O79" s="1"/>
  <c r="N80"/>
  <c r="O80" s="1"/>
  <c r="N77"/>
  <c r="N57"/>
  <c r="O57" s="1"/>
  <c r="N56"/>
  <c r="B133" i="59" l="1"/>
  <c r="B134" s="1"/>
  <c r="N28" i="69"/>
  <c r="O28" s="1"/>
  <c r="O56"/>
  <c r="O75" s="1"/>
  <c r="N75"/>
  <c r="O77"/>
  <c r="O90" s="1"/>
  <c r="B135" i="59" l="1"/>
  <c r="J28" i="67"/>
  <c r="B136" i="59" l="1"/>
  <c r="B137" s="1"/>
  <c r="B138" s="1"/>
  <c r="B139" s="1"/>
  <c r="B140" l="1"/>
  <c r="D119" i="69" l="1"/>
  <c r="C197" i="71" s="1"/>
  <c r="J119" i="69"/>
  <c r="K119" s="1"/>
  <c r="I119"/>
  <c r="H119"/>
  <c r="I117"/>
  <c r="J117"/>
  <c r="K117" s="1"/>
  <c r="M117"/>
  <c r="D117"/>
  <c r="C196" i="71" s="1"/>
  <c r="H117" i="69"/>
  <c r="L121" l="1"/>
  <c r="N117"/>
  <c r="O117" s="1"/>
  <c r="O121" s="1"/>
  <c r="H29" i="67"/>
  <c r="N30" i="69"/>
  <c r="O98"/>
  <c r="N98"/>
  <c r="M98" s="1"/>
  <c r="I30" i="67" s="1"/>
  <c r="M37" i="69"/>
  <c r="L128" l="1"/>
  <c r="H33" i="67"/>
  <c r="N121" i="69"/>
  <c r="M121" s="1"/>
  <c r="I33" i="67" s="1"/>
  <c r="O108" i="69"/>
  <c r="N108"/>
  <c r="N90"/>
  <c r="J29" i="67" s="1"/>
  <c r="J25"/>
  <c r="M30" i="69"/>
  <c r="I25" i="67" s="1"/>
  <c r="I26"/>
  <c r="M75" i="69"/>
  <c r="H37" i="67" l="1"/>
  <c r="H38" s="1"/>
  <c r="H39" s="1"/>
  <c r="J33"/>
  <c r="J30"/>
  <c r="J31"/>
  <c r="M108" i="69"/>
  <c r="I31" i="67" s="1"/>
  <c r="M90" i="69"/>
  <c r="I29" i="67" s="1"/>
  <c r="O30" i="69"/>
  <c r="O128" s="1"/>
  <c r="I28" i="67"/>
  <c r="J37" l="1"/>
  <c r="I37" s="1"/>
  <c r="H40"/>
  <c r="M130" i="59" l="1"/>
  <c r="L40" i="67"/>
  <c r="W55" i="71" s="1"/>
  <c r="C2" i="64"/>
  <c r="D12" s="1"/>
  <c r="W22" i="71" l="1"/>
  <c r="D11" i="64"/>
  <c r="C9"/>
  <c r="C14" s="1"/>
  <c r="C15" s="1"/>
  <c r="D13"/>
  <c r="C7" l="1"/>
  <c r="D7" s="1"/>
  <c r="I18"/>
  <c r="E9"/>
  <c r="C10" s="1"/>
  <c r="C12" s="1"/>
  <c r="I16"/>
  <c r="E15"/>
  <c r="E19" s="1"/>
  <c r="E23" s="1"/>
  <c r="C23" s="1"/>
  <c r="C27" s="1"/>
  <c r="C19"/>
  <c r="C16"/>
  <c r="E14"/>
  <c r="E18" s="1"/>
  <c r="E22" s="1"/>
  <c r="C18"/>
  <c r="C13" l="1"/>
  <c r="C26"/>
  <c r="E16"/>
  <c r="E20" s="1"/>
  <c r="C20"/>
  <c r="C17"/>
  <c r="C22"/>
  <c r="E17" l="1"/>
  <c r="E21" s="1"/>
  <c r="E25" s="1"/>
  <c r="C25" s="1"/>
  <c r="C21"/>
  <c r="D27"/>
  <c r="E24"/>
  <c r="C24" s="1"/>
  <c r="D26" s="1"/>
  <c r="C5" l="1"/>
  <c r="F10" s="1"/>
  <c r="D42" i="67" l="1"/>
  <c r="C6" i="64"/>
  <c r="C8" s="1"/>
  <c r="L129" i="69"/>
  <c r="L130" s="1"/>
  <c r="L131" s="1"/>
  <c r="N128"/>
  <c r="M128" s="1"/>
  <c r="E133" l="1"/>
</calcChain>
</file>

<file path=xl/sharedStrings.xml><?xml version="1.0" encoding="utf-8"?>
<sst xmlns="http://schemas.openxmlformats.org/spreadsheetml/2006/main" count="6516" uniqueCount="740">
  <si>
    <t>III</t>
  </si>
  <si>
    <t>Kepala tukang batu</t>
  </si>
  <si>
    <t>Kepala tukang besi</t>
  </si>
  <si>
    <t>Kepala tukang cat</t>
  </si>
  <si>
    <t>Kepala tukang kayu</t>
  </si>
  <si>
    <t>Tukang listrik</t>
  </si>
  <si>
    <t>Bambu apus 4 m'</t>
  </si>
  <si>
    <t>Batu kali</t>
  </si>
  <si>
    <t>Batu bata merah</t>
  </si>
  <si>
    <t>Kayu begesting</t>
  </si>
  <si>
    <t>Kayu sengon papan</t>
  </si>
  <si>
    <t xml:space="preserve">Kuwas </t>
  </si>
  <si>
    <t>PC warna (40 Kg)</t>
  </si>
  <si>
    <t>Paku triplek 2 cm</t>
  </si>
  <si>
    <t>Paku usuk</t>
  </si>
  <si>
    <t>Tanah cadas</t>
  </si>
  <si>
    <t>WILAYAH 1</t>
  </si>
  <si>
    <t>WILAYAH 2</t>
  </si>
  <si>
    <t>WILAYAH 3</t>
  </si>
  <si>
    <t>Kayu sengon kaso 5/7</t>
  </si>
  <si>
    <t>Plint granit 10 x 60 cm</t>
  </si>
  <si>
    <t>Aluminium foil</t>
  </si>
  <si>
    <t>Wastafel komplit</t>
  </si>
  <si>
    <t xml:space="preserve">Multiplek 9 mm </t>
  </si>
  <si>
    <t>Buruh tak terlatih/Pekerja</t>
  </si>
  <si>
    <t>Cat penutup 2x</t>
  </si>
  <si>
    <t>2</t>
  </si>
  <si>
    <t>Washbak (bak cuci) steinless</t>
  </si>
  <si>
    <t>Memasang paving tb. 8 cm, K.250, polos</t>
  </si>
  <si>
    <t>buah</t>
  </si>
  <si>
    <t>Kawat D 4 mm</t>
  </si>
  <si>
    <t>Ramset</t>
  </si>
  <si>
    <t>m'</t>
  </si>
  <si>
    <t>Tukang las</t>
  </si>
  <si>
    <t>Tukang besi</t>
  </si>
  <si>
    <t>Sealent</t>
  </si>
  <si>
    <t>tube</t>
  </si>
  <si>
    <t>Alluminium strip</t>
  </si>
  <si>
    <t>Tube</t>
  </si>
  <si>
    <t>Pasir Urug</t>
  </si>
  <si>
    <t>NO</t>
  </si>
  <si>
    <t>SATUAN</t>
  </si>
  <si>
    <t>HARGA</t>
  </si>
  <si>
    <t>m³</t>
  </si>
  <si>
    <t>m²</t>
  </si>
  <si>
    <t>bh</t>
  </si>
  <si>
    <t>PEKERJAAN BETON</t>
  </si>
  <si>
    <t>Gypsum Board</t>
  </si>
  <si>
    <t>Paku skrup</t>
  </si>
  <si>
    <t>ls</t>
  </si>
  <si>
    <t>btg</t>
  </si>
  <si>
    <t>unit</t>
  </si>
  <si>
    <t>ljr</t>
  </si>
  <si>
    <t>lbr</t>
  </si>
  <si>
    <t xml:space="preserve"> </t>
  </si>
  <si>
    <t>Kebutuhan</t>
  </si>
  <si>
    <t xml:space="preserve">Satuan </t>
  </si>
  <si>
    <t>Indeks</t>
  </si>
  <si>
    <t>Harga Satuan</t>
  </si>
  <si>
    <t>Jumlah</t>
  </si>
  <si>
    <t>Bahan / Upah</t>
  </si>
  <si>
    <t>( Rp. )</t>
  </si>
  <si>
    <t>Bahan</t>
  </si>
  <si>
    <t>Tenaga Kerja</t>
  </si>
  <si>
    <t>Pekerja</t>
  </si>
  <si>
    <t>Mandor</t>
  </si>
  <si>
    <t>OH</t>
  </si>
  <si>
    <t>Jumlah harga per-satuan pekerjaan</t>
  </si>
  <si>
    <t>m3</t>
  </si>
  <si>
    <t xml:space="preserve">Pekerja </t>
  </si>
  <si>
    <t>Tukang Batu</t>
  </si>
  <si>
    <t>Kepala Tukang</t>
  </si>
  <si>
    <t>Ijuk</t>
  </si>
  <si>
    <t>kg</t>
  </si>
  <si>
    <t>Batu Belah 15/20 cm</t>
  </si>
  <si>
    <t>PC</t>
  </si>
  <si>
    <t>Jumlah harga per satuan pekerjaan</t>
  </si>
  <si>
    <t>Pasir urug</t>
  </si>
  <si>
    <t>Pasir Beton</t>
  </si>
  <si>
    <t>Kawat Beton</t>
  </si>
  <si>
    <t>Air</t>
  </si>
  <si>
    <t>Kerikil ( maks 30 mm )</t>
  </si>
  <si>
    <t>Sealant</t>
  </si>
  <si>
    <t>m</t>
  </si>
  <si>
    <t>Besi Beton ( polos/ulir )</t>
  </si>
  <si>
    <t>Kayu kelas III</t>
  </si>
  <si>
    <t>Paku 5 cm - 10 cm</t>
  </si>
  <si>
    <t>Minyak Bekisting</t>
  </si>
  <si>
    <t>Balok kayu kelas II</t>
  </si>
  <si>
    <t>Plywood tebal 9 mm</t>
  </si>
  <si>
    <t>Dolken kayu galam,</t>
  </si>
  <si>
    <t>Buah</t>
  </si>
  <si>
    <t>Paku 5 cm - 12 cm</t>
  </si>
  <si>
    <t>Tukang Kayu</t>
  </si>
  <si>
    <t>Tukang Besi</t>
  </si>
  <si>
    <t>Lembar</t>
  </si>
  <si>
    <t>Batu Merah</t>
  </si>
  <si>
    <t>Pasir Pasang</t>
  </si>
  <si>
    <t>Tukang kayu</t>
  </si>
  <si>
    <t>Paku 5 dan 7 cm</t>
  </si>
  <si>
    <t>m2</t>
  </si>
  <si>
    <t>Semen Warna</t>
  </si>
  <si>
    <t>Total Harga</t>
  </si>
  <si>
    <t>:</t>
  </si>
  <si>
    <t>L O K A S I</t>
  </si>
  <si>
    <t>KABUPATEN</t>
  </si>
  <si>
    <t>KARANGANYAR</t>
  </si>
  <si>
    <t>TAHUN ANGGARAN</t>
  </si>
  <si>
    <t>Harga</t>
  </si>
  <si>
    <t>Rp.</t>
  </si>
  <si>
    <t>1</t>
  </si>
  <si>
    <t xml:space="preserve"> 3</t>
  </si>
  <si>
    <t>4</t>
  </si>
  <si>
    <t>5</t>
  </si>
  <si>
    <t xml:space="preserve"> 7</t>
  </si>
  <si>
    <t>PEKERJAAN PERSIAPAN</t>
  </si>
  <si>
    <t>PEKERJAAN TANAH</t>
  </si>
  <si>
    <t>PEKERJAAN PASANGAN</t>
  </si>
  <si>
    <t/>
  </si>
  <si>
    <t>DIBULATKAN</t>
  </si>
  <si>
    <t>NO.</t>
  </si>
  <si>
    <t>URAIAN</t>
  </si>
  <si>
    <t>Dihitung</t>
  </si>
  <si>
    <t>Kertas folio 70 gr</t>
  </si>
  <si>
    <t>Kep.Tukang</t>
  </si>
  <si>
    <t>Tukang batu</t>
  </si>
  <si>
    <t>Tukang cat</t>
  </si>
  <si>
    <t>Memasang saklar ganda</t>
  </si>
  <si>
    <t>Memasang saklar tunggal</t>
  </si>
  <si>
    <t>Memasang stop kontak</t>
  </si>
  <si>
    <t>Perlengkapan</t>
  </si>
  <si>
    <t>Pembersihan lapangan</t>
  </si>
  <si>
    <t>Pasir pasang</t>
  </si>
  <si>
    <t>Plamir</t>
  </si>
  <si>
    <t>Cat dasar</t>
  </si>
  <si>
    <t>Cat penutup 2 X</t>
  </si>
  <si>
    <t>rim</t>
  </si>
  <si>
    <t>Pipa PVC</t>
  </si>
  <si>
    <t>Seal tape</t>
  </si>
  <si>
    <t>Stop kontak</t>
  </si>
  <si>
    <t>ttk</t>
  </si>
  <si>
    <t>ltr</t>
  </si>
  <si>
    <t>Ball point</t>
  </si>
  <si>
    <t>Kertas sampul</t>
  </si>
  <si>
    <t>Tinta print refill</t>
  </si>
  <si>
    <t>KET.</t>
  </si>
  <si>
    <t>List gypsum profil</t>
  </si>
  <si>
    <t>Tepung gypsum</t>
  </si>
  <si>
    <t>Tukang khusus allumunium</t>
  </si>
  <si>
    <t>Tukang allumunium/kaca</t>
  </si>
  <si>
    <t>Paku biasa 2" - 5 "</t>
  </si>
  <si>
    <t>Pipa PVC 3/4"</t>
  </si>
  <si>
    <t>Pipa PVC 1"</t>
  </si>
  <si>
    <t>Pipa PVC 1 1/2"</t>
  </si>
  <si>
    <t>Pipa PVC 2"</t>
  </si>
  <si>
    <t>Pipa PVC 3"</t>
  </si>
  <si>
    <t>( 35% harga pipa PVC )</t>
  </si>
  <si>
    <t>( 12% harga wastafel )</t>
  </si>
  <si>
    <t>Kaca 5 mm</t>
  </si>
  <si>
    <t>Paving tebal 8 cm</t>
  </si>
  <si>
    <t>Saklar tunggal</t>
  </si>
  <si>
    <t>Saklar ganda</t>
  </si>
  <si>
    <t>Kloset duduk/monoblok</t>
  </si>
  <si>
    <t>( 6% harga kloset )</t>
  </si>
  <si>
    <t>Ø (8 - 10) cm, panj 4 m</t>
  </si>
  <si>
    <t>Pembesian 1 kg dengan besi polos atau besi ulir</t>
  </si>
  <si>
    <t>No.</t>
  </si>
  <si>
    <t>x</t>
  </si>
  <si>
    <t>+</t>
  </si>
  <si>
    <t>Kaca bening 5 mm</t>
  </si>
  <si>
    <t>Cat tembok ( dalam )</t>
  </si>
  <si>
    <t>Fitting porselin</t>
  </si>
  <si>
    <t>Woodplank ( 4 M )</t>
  </si>
  <si>
    <t>Woodplank</t>
  </si>
  <si>
    <t>Minyak begesting</t>
  </si>
  <si>
    <t>Pipa PVC Ø 4" / 4 m AW</t>
  </si>
  <si>
    <t>Seng talang Bjls 30 lebar 0,90</t>
  </si>
  <si>
    <t>Cetak Foto</t>
  </si>
  <si>
    <t>Semua</t>
  </si>
  <si>
    <t>NAMA UPAH</t>
  </si>
  <si>
    <t>Aluminium foil/sisalation</t>
  </si>
  <si>
    <t>Besi beton</t>
  </si>
  <si>
    <t>Memasang pipa PVC tipe AW diameter 3/4"</t>
  </si>
  <si>
    <t>Memasang pipa PVC tipe AW diameter 1"</t>
  </si>
  <si>
    <t>Memasang pipa PVC tipe AW diameter 1 1/2"</t>
  </si>
  <si>
    <t>Memasang pipa PVC tipe AW diameter 2"</t>
  </si>
  <si>
    <t>Memasang pipa PVC tipe AW diameter 3"</t>
  </si>
  <si>
    <t>Memasang pipa PVC tipe AW diameter 4"</t>
  </si>
  <si>
    <t>Bak cuci stainles steel</t>
  </si>
  <si>
    <t>Water drain + asesories</t>
  </si>
  <si>
    <t>set</t>
  </si>
  <si>
    <t>Memasang lisplank woodplank</t>
  </si>
  <si>
    <t>REKAPITULASI HARGA SATUAN PEKERJAAN</t>
  </si>
  <si>
    <t>Amplas besi/kayu</t>
  </si>
  <si>
    <t>Cat tembok ( luar )</t>
  </si>
  <si>
    <t>Kaca rayband 5 mm</t>
  </si>
  <si>
    <t>Pipa PVC Ø 1" / 4 m AW</t>
  </si>
  <si>
    <t>Pipa PVC Ø 1,5" / 4 m AW</t>
  </si>
  <si>
    <t>Pipa PVC Ø 2" / 4 m AW</t>
  </si>
  <si>
    <t>Pipa PVC Ø 3" / 4 m AW</t>
  </si>
  <si>
    <t>I</t>
  </si>
  <si>
    <t>II</t>
  </si>
  <si>
    <t>JUMLAH</t>
  </si>
  <si>
    <t>Kayu papan sengon 3/20</t>
  </si>
  <si>
    <t>Ram pintu 5 x 2,5 cm</t>
  </si>
  <si>
    <t>Profil allumunium</t>
  </si>
  <si>
    <t>Sponengan</t>
  </si>
  <si>
    <t>Granit warna muda</t>
  </si>
  <si>
    <t>Sewa brak direksi keet</t>
  </si>
  <si>
    <t>Ubin Keramik dof</t>
  </si>
  <si>
    <t xml:space="preserve">DAFTAR HARGA SATUAN UPAH TENAGA DAN BAHAN BANGUNAN </t>
  </si>
  <si>
    <t>Daftar harga</t>
  </si>
  <si>
    <t>Peralatan</t>
  </si>
  <si>
    <t>A</t>
  </si>
  <si>
    <t>B</t>
  </si>
  <si>
    <t>C</t>
  </si>
  <si>
    <t>D</t>
  </si>
  <si>
    <t>E</t>
  </si>
  <si>
    <t>Tanah urug pilihan</t>
  </si>
  <si>
    <t xml:space="preserve">Jumlah harga tenaga, bahan dan peralatan </t>
  </si>
  <si>
    <t>( A + B + C )</t>
  </si>
  <si>
    <t>Overhead &amp; profit</t>
  </si>
  <si>
    <t>F</t>
  </si>
  <si>
    <t>Memasang pondasi batu belah, campuran 1 PC : 8 PP</t>
  </si>
  <si>
    <t>Membuat dinding bata merah tebal 1 bata , camp 1 PC : 5 PP</t>
  </si>
  <si>
    <t>Memasang list plafond gypsum profil</t>
  </si>
  <si>
    <t xml:space="preserve">( D + E )  </t>
  </si>
  <si>
    <t>No</t>
  </si>
  <si>
    <t>Batu pecah 2/3 cm (split), cruser</t>
  </si>
  <si>
    <t>Batu pecah 15/20 cm, manual</t>
  </si>
  <si>
    <t>Aluminium strip</t>
  </si>
  <si>
    <t>Kawat bendrat</t>
  </si>
  <si>
    <t>Pipa PVC Ø ½" / 4 m AW</t>
  </si>
  <si>
    <t>Pipa PVC Ø ¾" / 4 m  AW</t>
  </si>
  <si>
    <t>( A + B )</t>
  </si>
  <si>
    <t xml:space="preserve">( C + D )  </t>
  </si>
  <si>
    <t>Skrup fisher</t>
  </si>
  <si>
    <t>MCB</t>
  </si>
  <si>
    <t>Kepala tukang</t>
  </si>
  <si>
    <t>An. Dihitung</t>
  </si>
  <si>
    <t>A.2.2.1.4.</t>
  </si>
  <si>
    <t>A.3.2.1.5.</t>
  </si>
  <si>
    <t>A.4.1.1.1.</t>
  </si>
  <si>
    <t>A.4.1.1.17.</t>
  </si>
  <si>
    <t>A.4.4.1.12.</t>
  </si>
  <si>
    <t>A.4.4.2.27.</t>
  </si>
  <si>
    <t>A.4.4.3.35.</t>
  </si>
  <si>
    <t>A.4.6.2.17.</t>
  </si>
  <si>
    <t>A.4.7.1.10.</t>
  </si>
  <si>
    <t>A.4.7.1.10a.</t>
  </si>
  <si>
    <t>A.5.1.1.1.</t>
  </si>
  <si>
    <t>A.5.1.1.26.</t>
  </si>
  <si>
    <t>A.5.1.1.31.</t>
  </si>
  <si>
    <t>A.5.1.1.32.</t>
  </si>
  <si>
    <t>A.5.1.1.19.</t>
  </si>
  <si>
    <t>A.5.1.1.12.</t>
  </si>
  <si>
    <t>A.4.1.1.20.</t>
  </si>
  <si>
    <t>A.5.1.1.2.</t>
  </si>
  <si>
    <t>A.5.1.1.5.</t>
  </si>
  <si>
    <t>Kloset jongkok</t>
  </si>
  <si>
    <t>A.5.1.1.14.</t>
  </si>
  <si>
    <t>Floor drain</t>
  </si>
  <si>
    <t>Fitting</t>
  </si>
  <si>
    <t>URAIAN PEKERJAAN</t>
  </si>
  <si>
    <t>Memasang langit-langit gypsum board uk. (120x240), tb. 9 mm.</t>
  </si>
  <si>
    <t>A.4.5.1.7.</t>
  </si>
  <si>
    <t>Profil aluminium</t>
  </si>
  <si>
    <t>Keramik exterioir texture</t>
  </si>
  <si>
    <t>A.4.4.3.28.a.</t>
  </si>
  <si>
    <t>Profil alumunium</t>
  </si>
  <si>
    <t>Membuat dinding bt. merah t: 1/2bata, camp 1PC:8PP</t>
  </si>
  <si>
    <t>Portland Cement (PC)  40 Kg</t>
  </si>
  <si>
    <t>NAMA BAHAN</t>
  </si>
  <si>
    <t>A.4.1.1.24</t>
  </si>
  <si>
    <t>Pasir sirtu lokal</t>
  </si>
  <si>
    <t>A.5.1.1.29.</t>
  </si>
  <si>
    <t>A.5.1.1.30.</t>
  </si>
  <si>
    <t>Memasang pipa PVC tipe AW diameter 2,5"</t>
  </si>
  <si>
    <t>Pipa PVC 2,5"</t>
  </si>
  <si>
    <t>Pipa PVC Ø 2,5" / 4 m AW</t>
  </si>
  <si>
    <t>Besi Hollow 1,8/3,8 cm t:0,3</t>
  </si>
  <si>
    <t>Besi Hollow 3,8/3,8 cm t:0,3</t>
  </si>
  <si>
    <t>Closet duduk monoblock</t>
  </si>
  <si>
    <t>Granit tile 60 x 60 cm Warna muda</t>
  </si>
  <si>
    <t>Gypsum board (120 x 240 cm) t: 9 mm</t>
  </si>
  <si>
    <t>Kayu begesteng steiger/dolken 4 M'</t>
  </si>
  <si>
    <t>Paku sekrup fisher/dynebolt/ramset</t>
  </si>
  <si>
    <t>Paving 8 cm K.250 (abu-abu)</t>
  </si>
  <si>
    <t>Pasir beton woro</t>
  </si>
  <si>
    <t>A.3.2.1.9.</t>
  </si>
  <si>
    <t>A.4.1.1.22.</t>
  </si>
  <si>
    <t>A.4.1.1.23.</t>
  </si>
  <si>
    <t>doos</t>
  </si>
  <si>
    <t>Pipa listrik 5/8"</t>
  </si>
  <si>
    <t>T Dus</t>
  </si>
  <si>
    <t>L Bow</t>
  </si>
  <si>
    <t>A.4.4.1.4.</t>
  </si>
  <si>
    <t>A.5.1.1.27.</t>
  </si>
  <si>
    <t>A.5.1.1.28.</t>
  </si>
  <si>
    <t>Unit</t>
  </si>
  <si>
    <t>IV</t>
  </si>
  <si>
    <t>VI</t>
  </si>
  <si>
    <t>DAFTAR ANALISIS HARGA SATUAN PEKERJAAN</t>
  </si>
  <si>
    <t>PEDOMAN ANALISIS HARGA SATUAN PEKERJAAN BIDANG PEKERJAAN UMUM</t>
  </si>
  <si>
    <t>SUMBER DANA</t>
  </si>
  <si>
    <t>An.Dihitung</t>
  </si>
  <si>
    <t>Floor drain stainless</t>
  </si>
  <si>
    <t>Minyak cat/Tinner B</t>
  </si>
  <si>
    <t>KODE</t>
  </si>
  <si>
    <t>HARGA SATUAN</t>
  </si>
  <si>
    <t>SAT.</t>
  </si>
  <si>
    <t xml:space="preserve">Cat meni besi </t>
  </si>
  <si>
    <t>Kabel listrik 2x1.50 mm</t>
  </si>
  <si>
    <t>Kabel listrik 3x2.50 mm</t>
  </si>
  <si>
    <t>Pasang instalasi penangkal petir 1 split lengkap</t>
  </si>
  <si>
    <t>Pasang Drop ceilling plafond</t>
  </si>
  <si>
    <t>Penyelenggaraan K3</t>
  </si>
  <si>
    <t>Pasang kabel pembagi kabel 3x2,5 mm</t>
  </si>
  <si>
    <t>Memasang lantai granit tile ( 60 x 60 ) cm</t>
  </si>
  <si>
    <t>Memasang batu kosong ( anstamping )</t>
  </si>
  <si>
    <t>Terbilang :</t>
  </si>
  <si>
    <t>RAB TOTAL</t>
  </si>
  <si>
    <t>&lt;= angka</t>
  </si>
  <si>
    <t>&lt;= jumlah desimal</t>
  </si>
  <si>
    <t>&lt;="b" atau "saja"</t>
  </si>
  <si>
    <t>Nama Range yang ada  :</t>
  </si>
  <si>
    <t>NUMBER</t>
  </si>
  <si>
    <t>A1</t>
  </si>
  <si>
    <t>NUMTEXT</t>
  </si>
  <si>
    <t>A1..A5</t>
  </si>
  <si>
    <t>TEXT</t>
  </si>
  <si>
    <t>A5</t>
  </si>
  <si>
    <t>\T</t>
  </si>
  <si>
    <t>B9</t>
  </si>
  <si>
    <t>satu</t>
  </si>
  <si>
    <t>dua</t>
  </si>
  <si>
    <t>tiga</t>
  </si>
  <si>
    <t>empat</t>
  </si>
  <si>
    <t>lima</t>
  </si>
  <si>
    <t>enam</t>
  </si>
  <si>
    <t>tujuh</t>
  </si>
  <si>
    <t>delapan</t>
  </si>
  <si>
    <t>sembilan</t>
  </si>
  <si>
    <t>sepuluh</t>
  </si>
  <si>
    <t>sebelas</t>
  </si>
  <si>
    <t xml:space="preserve">dua belas </t>
  </si>
  <si>
    <t>tiga belas</t>
  </si>
  <si>
    <t>empat belas</t>
  </si>
  <si>
    <t>lima belas</t>
  </si>
  <si>
    <t>enam belas</t>
  </si>
  <si>
    <t>tujuh belas</t>
  </si>
  <si>
    <t>delapan belas</t>
  </si>
  <si>
    <t>sembilan belas</t>
  </si>
  <si>
    <t>dua puluh</t>
  </si>
  <si>
    <t>tiga puluh</t>
  </si>
  <si>
    <t>empat puluh</t>
  </si>
  <si>
    <t>lima puluh</t>
  </si>
  <si>
    <t>enam puluh</t>
  </si>
  <si>
    <t>tujuh puluh</t>
  </si>
  <si>
    <t>delapan puluh</t>
  </si>
  <si>
    <t>sembilan puluh</t>
  </si>
  <si>
    <t>Perhatian : Masukkan angka di sel A1</t>
  </si>
  <si>
    <t>Baca terbilangnya di sel A4 atau A5 atau A7 atau D10</t>
  </si>
  <si>
    <t>A.4.1.1.21.</t>
  </si>
  <si>
    <t>Kabel 3x2,5</t>
  </si>
  <si>
    <t>Kabel 2x1,5</t>
  </si>
  <si>
    <t>Memasang Instalasi titik saklar (kabel 2x1,5 mm)</t>
  </si>
  <si>
    <t>Memasang Instalasi titik stop kontak (kabel 3x2,5 mm)</t>
  </si>
  <si>
    <t>Memasang instalasi titik lampu (kabel 2x1,5 mm) tanpa fitting</t>
  </si>
  <si>
    <t>Memasang instalasi titik lampu (kabel 2x1,5 mm) + fitting</t>
  </si>
  <si>
    <t>Kran air 1/2" stainless</t>
  </si>
  <si>
    <t>Kran air d 1/2" onda stainless</t>
  </si>
  <si>
    <t>Pipa PVC Ø 3" / 4 m Tipe D</t>
  </si>
  <si>
    <t>Granit tile 60 x 60 cm Anti selip</t>
  </si>
  <si>
    <t>Plint granit tile 10/60</t>
  </si>
  <si>
    <t>Memasang wastafel lengkap sifon stainless</t>
  </si>
  <si>
    <t>Uraian Pekerjaan</t>
  </si>
  <si>
    <t>Volume</t>
  </si>
  <si>
    <t>Sat.</t>
  </si>
  <si>
    <t>Analysa</t>
  </si>
  <si>
    <t>Satuan</t>
  </si>
  <si>
    <t>JUMLAH I.</t>
  </si>
  <si>
    <t>Memasang bak cuci piring stainlessteel dan aksesoris</t>
  </si>
  <si>
    <t xml:space="preserve">Pengukuran dan pemasangan bouwplank  </t>
  </si>
  <si>
    <t>ANALISA PERHITUNGAN BIAYA K3</t>
  </si>
  <si>
    <t>HARGA BAHAN/UPAH</t>
  </si>
  <si>
    <t xml:space="preserve">JUMLAH </t>
  </si>
  <si>
    <t>SNI</t>
  </si>
  <si>
    <t>KOEF</t>
  </si>
  <si>
    <t>Rp</t>
  </si>
  <si>
    <t>HARGA  SATUAN BIAYA K3</t>
  </si>
  <si>
    <t>HITUNG K3</t>
  </si>
  <si>
    <t>BIAYA K3</t>
  </si>
  <si>
    <t>TENAGA</t>
  </si>
  <si>
    <t>Ls</t>
  </si>
  <si>
    <t>Petugas K3</t>
  </si>
  <si>
    <t>BAHAN</t>
  </si>
  <si>
    <t>Topi Pelindung (Safety Helmet)</t>
  </si>
  <si>
    <t>Box</t>
  </si>
  <si>
    <t>Pelindung Pernafasan dan mulut (masker)</t>
  </si>
  <si>
    <t>Psg</t>
  </si>
  <si>
    <t>Sarung Tangan (Safety Gloves)</t>
  </si>
  <si>
    <t>Sepatu Keselamatan (Safety Shoes)</t>
  </si>
  <si>
    <t>Rompi keselamatan Safety Vest)</t>
  </si>
  <si>
    <t xml:space="preserve">Spanduk (banner) </t>
  </si>
  <si>
    <t>Peralatan P3K</t>
  </si>
  <si>
    <t>PERALATAN</t>
  </si>
  <si>
    <t>Jumlah A + B + C</t>
  </si>
  <si>
    <t>Overhead &amp; Profit</t>
  </si>
  <si>
    <t>Harga Satuan Pekerjaan (D+E)</t>
  </si>
  <si>
    <t>aksesoris 15%</t>
  </si>
  <si>
    <t>aksesoris 35%</t>
  </si>
  <si>
    <t xml:space="preserve">ls </t>
  </si>
  <si>
    <t>aksesoris 45%</t>
  </si>
  <si>
    <t>Stop kontak AC</t>
  </si>
  <si>
    <t>Lampu LED 17 watt</t>
  </si>
  <si>
    <t xml:space="preserve">Memasang stop kontak AC </t>
  </si>
  <si>
    <t>Pemasangan Reyling tangga "stainlees"</t>
  </si>
  <si>
    <t>Nilai TKDN</t>
  </si>
  <si>
    <t>Keterangan</t>
  </si>
  <si>
    <t>TKDN</t>
  </si>
  <si>
    <t>( % )</t>
  </si>
  <si>
    <t>WNI</t>
  </si>
  <si>
    <t xml:space="preserve"> Biaya KDN</t>
  </si>
  <si>
    <t>JUMLAH BIAYA KDN</t>
  </si>
  <si>
    <t>Jumlah Biaya</t>
  </si>
  <si>
    <t>KDN</t>
  </si>
  <si>
    <t>KLN</t>
  </si>
  <si>
    <t>JUMLAH BIAYA</t>
  </si>
  <si>
    <t>TKDN Kemenperin</t>
  </si>
  <si>
    <t>Alat Kerja</t>
  </si>
  <si>
    <t>R E K A P I T U L A S I</t>
  </si>
  <si>
    <t>Closet jongkok</t>
  </si>
  <si>
    <t>BP (Biaya Penyambungan)</t>
  </si>
  <si>
    <t>VA</t>
  </si>
  <si>
    <t>UJL (Uang Jaminan Langganan)</t>
  </si>
  <si>
    <t>SLO (Sertifikat Laik Operasi)</t>
  </si>
  <si>
    <t>Klem biasa</t>
  </si>
  <si>
    <t>Kayu begesting sengon</t>
  </si>
  <si>
    <t>Pengurugan Kembali 1 m3 Galian Tanah</t>
  </si>
  <si>
    <t>A.1.5.1.2.</t>
  </si>
  <si>
    <t>A.1.5.1.15.</t>
  </si>
  <si>
    <t>A.1.5.1.10.</t>
  </si>
  <si>
    <t>A.4.4.2.3.</t>
  </si>
  <si>
    <t>Memasang plesteran 1 PC : 8 PP, tebal 15 mm</t>
  </si>
  <si>
    <t>A.4.4.2.8.</t>
  </si>
  <si>
    <t>Membuat lantai kerja beton mutu f'c = 7,4 Mpa slump (3-6) cm, w/c = 0,87</t>
  </si>
  <si>
    <t>A.4.1.1.10.</t>
  </si>
  <si>
    <t>Pembuatan 1 m3 Beton Mutu f'=14,5 Mpa (K175)</t>
  </si>
  <si>
    <t>A.4.1.1.5.</t>
  </si>
  <si>
    <t>Pembuatan m3 Beton Mutu f'c = 7,4 Mpa (K100)</t>
  </si>
  <si>
    <t>Kaca tebal 5 mm</t>
  </si>
  <si>
    <t>A.4.2.1.24.</t>
  </si>
  <si>
    <t xml:space="preserve">A.4.2.1.26. </t>
  </si>
  <si>
    <t>A.4.2.1.25</t>
  </si>
  <si>
    <t>A.4.5.2.44.</t>
  </si>
  <si>
    <t xml:space="preserve"> Pemasangan 1 m2 Lapisan Aluminium Foil</t>
  </si>
  <si>
    <t>A.4.5.1.11.</t>
  </si>
  <si>
    <t>Hollow 3,8/3,8 galvanis</t>
  </si>
  <si>
    <t>Hollow 1,8/3,8 galvanis</t>
  </si>
  <si>
    <t>1 VA - Pasang Daya Baru (BP.UJL PLN) termasuk:</t>
  </si>
  <si>
    <t>Kabel</t>
  </si>
  <si>
    <t>Memasang pipa PVC tipe AW diameter 1/2"</t>
  </si>
  <si>
    <t xml:space="preserve">A.5.1.1.25. </t>
  </si>
  <si>
    <t>Pipa PVC 1/2"</t>
  </si>
  <si>
    <t>Tukang pipa</t>
  </si>
  <si>
    <t>Jet shower</t>
  </si>
  <si>
    <t>Pasang Jet shower</t>
  </si>
  <si>
    <t>Pasang stop kran bahan kuningan ukuran 3/4 "</t>
  </si>
  <si>
    <t>Stop kran kuningan</t>
  </si>
  <si>
    <t>Pengecatan 1 m2 Bidang Kayu Baru (lisplang)</t>
  </si>
  <si>
    <t>A.4.7.1.5.</t>
  </si>
  <si>
    <t>Cat meni</t>
  </si>
  <si>
    <t>cat dasar</t>
  </si>
  <si>
    <t>cat penutup</t>
  </si>
  <si>
    <t>Kuwas</t>
  </si>
  <si>
    <t>Pengencer</t>
  </si>
  <si>
    <t>Amplas</t>
  </si>
  <si>
    <t>Cat kayu</t>
  </si>
  <si>
    <t>A.4.4.1.8.</t>
  </si>
  <si>
    <t>Membuat dinding bt. merah t: 1/2bata, camp 1PC:3PP</t>
  </si>
  <si>
    <t>A.4.1.1.4.</t>
  </si>
  <si>
    <t>Pengurugan dan Pemadatan 1 m3 Sirtu (Lokal)</t>
  </si>
  <si>
    <t>A.1.5.1.14.</t>
  </si>
  <si>
    <t>Sirtu</t>
  </si>
  <si>
    <t>Memasang lapisan ijuk tebal 10 cm untuk bidang resapan</t>
  </si>
  <si>
    <t>A.1.5.1.13.</t>
  </si>
  <si>
    <t>Granit tile 60x60</t>
  </si>
  <si>
    <t>Memasang plint lantai Granit tile uk. (10 x 60) cm</t>
  </si>
  <si>
    <t>Pemasangan 1 m' Talang datar / Jurai seng bjls 28 lebar 90 cm</t>
  </si>
  <si>
    <t>A.4.2.1.18.</t>
  </si>
  <si>
    <t>Seng Plat</t>
  </si>
  <si>
    <t>Paku 1 - 2,5 cm</t>
  </si>
  <si>
    <t>Pemasangan 1 m2  Bekisting untuk Balok Bangunan Gedung</t>
  </si>
  <si>
    <t>Papan kayu kelas III</t>
  </si>
  <si>
    <t>Pemasangan 1 buah MCB</t>
  </si>
  <si>
    <t>MCB (Boks MCB)</t>
  </si>
  <si>
    <t>gresik</t>
  </si>
  <si>
    <t>material impor</t>
  </si>
  <si>
    <t>indogress</t>
  </si>
  <si>
    <t>Instalasi kabelpembagi (2x1,5mm)</t>
  </si>
  <si>
    <t>Kabel 2x1,5 mm</t>
  </si>
  <si>
    <t>Pasang kabel pembagi kabel 2x2,5 mm</t>
  </si>
  <si>
    <t>Pengecatan 1m2 dinding baru (cat interior)</t>
  </si>
  <si>
    <t>Pengecatan 1m2 dinding luar (cat exterior)</t>
  </si>
  <si>
    <t>Memasang kran diameter 1/2"atau 3/4", onda stainless</t>
  </si>
  <si>
    <t>Wastafel lengkap</t>
  </si>
  <si>
    <t>Urug tanah padat (Tanah cadas)</t>
  </si>
  <si>
    <t>Pengurugan 1 m3 dengan Pasir Urug</t>
  </si>
  <si>
    <t>Pemasangan 1 m2 Acian</t>
  </si>
  <si>
    <t>Memasang lantai granit tile ( 60 x 60 ) cm, texture</t>
  </si>
  <si>
    <t>Memasang kusen pintu/jendela alluminium 4"</t>
  </si>
  <si>
    <t>Pemasangan 1 m2 Kaca  Tebal 5 mm</t>
  </si>
  <si>
    <t>Pemasangan 1 m2  Pintu Alluminium Strip lebar 8 cm</t>
  </si>
  <si>
    <t>Pemasangan 1 Buah Closet Duduk/Monoblock</t>
  </si>
  <si>
    <t>Pemasangan 1 Buah Closet Jongkok Porselen</t>
  </si>
  <si>
    <t>Kusen aluminium 4"</t>
  </si>
  <si>
    <t>Ram jendela 5 x 2,5 cm</t>
  </si>
  <si>
    <t>Pemasangan 1 m2 Bekisting untuk Plat Beton Bangunan Gedung</t>
  </si>
  <si>
    <t xml:space="preserve">Aksesoris </t>
  </si>
  <si>
    <t>MMT</t>
  </si>
  <si>
    <t xml:space="preserve">Ram jendela </t>
  </si>
  <si>
    <t>%</t>
  </si>
  <si>
    <t>Ppn 11%</t>
  </si>
  <si>
    <t>JUMLAH SEMUA</t>
  </si>
  <si>
    <t>Direktur</t>
  </si>
  <si>
    <t>Memasang dinding terawang ( roster ) camp  1 PC : 4 PP</t>
  </si>
  <si>
    <t>A.4.4.1.23.</t>
  </si>
  <si>
    <t>Terawang ( roster ) beton</t>
  </si>
  <si>
    <t>Profit &amp; Overhead</t>
  </si>
  <si>
    <t>JUMLAH II.</t>
  </si>
  <si>
    <t>JUMLAH III.</t>
  </si>
  <si>
    <t>JUMLAH IV.</t>
  </si>
  <si>
    <t>PERHITUNGAN</t>
  </si>
  <si>
    <t>JUMLAH VOL</t>
  </si>
  <si>
    <t>P</t>
  </si>
  <si>
    <t>L</t>
  </si>
  <si>
    <t>T</t>
  </si>
  <si>
    <t>JML</t>
  </si>
  <si>
    <t>=</t>
  </si>
  <si>
    <t>VOL.</t>
  </si>
  <si>
    <t>kg/btg</t>
  </si>
  <si>
    <t xml:space="preserve">Pasang batu andesit </t>
  </si>
  <si>
    <t>A.4.4.3.58b.</t>
  </si>
  <si>
    <t>Batu andesit</t>
  </si>
  <si>
    <t>Batu Andesit</t>
  </si>
  <si>
    <t>Pasang batu lempeng tdk beraturan tanpa nat</t>
  </si>
  <si>
    <t>A.4.4.3.58a.</t>
  </si>
  <si>
    <t>Bt lempeng tdk beraturan</t>
  </si>
  <si>
    <t>Batu Lempeng</t>
  </si>
  <si>
    <t>Coating Batu alam</t>
  </si>
  <si>
    <t xml:space="preserve">PERHITUNGAN VOLUME </t>
  </si>
  <si>
    <t>-</t>
  </si>
  <si>
    <t>Air Kerja dan Listrik kerja</t>
  </si>
  <si>
    <t>Keramik dinding 30/60</t>
  </si>
  <si>
    <t xml:space="preserve">Memasang lantai keramik uk. (40x40) cm </t>
  </si>
  <si>
    <t xml:space="preserve">Keramik </t>
  </si>
  <si>
    <t xml:space="preserve">Keramik 40 x 40 </t>
  </si>
  <si>
    <t xml:space="preserve">Plin Keramik 10 x 40 cm </t>
  </si>
  <si>
    <t>Memasang plint keramik uk. (10x40) cm</t>
  </si>
  <si>
    <t xml:space="preserve">Plint keramik </t>
  </si>
  <si>
    <t>Memasang plesteran 1 PC : 3 PP, tebal 15 mm</t>
  </si>
  <si>
    <t>Pembuatan 1 m3 Beton Mutu  f'c = 21,7 Mpa (K.250)</t>
  </si>
  <si>
    <t xml:space="preserve">Memasang bekisting untuk pondasi </t>
  </si>
  <si>
    <t>A.1.5.1.9.</t>
  </si>
  <si>
    <t>PEKERJAAN ELEKTRIKAL</t>
  </si>
  <si>
    <t xml:space="preserve">MCB (Boks MCB ex. Presto) </t>
  </si>
  <si>
    <t>V</t>
  </si>
  <si>
    <t>PEKERJAAN PINTU DAN JENDELA</t>
  </si>
  <si>
    <t>A.4.6.2.11.</t>
  </si>
  <si>
    <t xml:space="preserve">Kunci selot </t>
  </si>
  <si>
    <t>VII</t>
  </si>
  <si>
    <t>Pemasangan PDAM Baru</t>
  </si>
  <si>
    <t>VIII</t>
  </si>
  <si>
    <t>IX</t>
  </si>
  <si>
    <t>X</t>
  </si>
  <si>
    <t xml:space="preserve">Memasang 1 m2 rangka plafond galvanis ukuran (60x60) cm </t>
  </si>
  <si>
    <t>Memasang langit-langit PVC</t>
  </si>
  <si>
    <t>Plafond PVC</t>
  </si>
  <si>
    <t>Batu merah</t>
  </si>
  <si>
    <t>Buis beton</t>
  </si>
  <si>
    <t>Buis Beton U.20</t>
  </si>
  <si>
    <t>Memasang saluran U.20 cm</t>
  </si>
  <si>
    <t>A.5.1.1.35b.</t>
  </si>
  <si>
    <t>JUMLAH IX.</t>
  </si>
  <si>
    <t>JUMLAH VIII.</t>
  </si>
  <si>
    <t>JUMLAH VII.</t>
  </si>
  <si>
    <t>JUMLAH VI.</t>
  </si>
  <si>
    <t>JUMLAH V.</t>
  </si>
  <si>
    <t xml:space="preserve">Memasang lantai keramik unpolish ukuran 40/40 cm </t>
  </si>
  <si>
    <t>Keramik 40 x 40 UN Polis</t>
  </si>
  <si>
    <t>Memasang dinding keramik  uk. (25x40) cm</t>
  </si>
  <si>
    <t>Keramik dinding 25/40</t>
  </si>
  <si>
    <t>PEKERJAAN KONTRUKSI</t>
  </si>
  <si>
    <t>Pas. Batu</t>
  </si>
  <si>
    <t>kg/m'</t>
  </si>
  <si>
    <t>Tul.</t>
  </si>
  <si>
    <t>begel</t>
  </si>
  <si>
    <t>Pasangan ACP Seven PVDF Outdoor</t>
  </si>
  <si>
    <t>ACP</t>
  </si>
  <si>
    <t>Hollow besi galvanis 40x40x1</t>
  </si>
  <si>
    <t>Briket siku/spigot/stiffener</t>
  </si>
  <si>
    <t>Paku skrup beton</t>
  </si>
  <si>
    <t>Tukang</t>
  </si>
  <si>
    <t>Sewa steger (2set)</t>
  </si>
  <si>
    <t>Listrik kerja</t>
  </si>
  <si>
    <t>alat bantu lain</t>
  </si>
  <si>
    <r>
      <t xml:space="preserve">Memasang </t>
    </r>
    <r>
      <rPr>
        <i/>
        <sz val="11"/>
        <rFont val="Swis721 Cn BT"/>
        <family val="2"/>
      </rPr>
      <t>floor drain stainless</t>
    </r>
  </si>
  <si>
    <t>DIKURANGI</t>
  </si>
  <si>
    <t>Memasang Step nose Granit tile uk. (10 x 60) cm</t>
  </si>
  <si>
    <t>step nose 10/60</t>
  </si>
  <si>
    <t>Plint Granit 10 x 60 cm step nose</t>
  </si>
  <si>
    <t>PINTU</t>
  </si>
  <si>
    <t>KM</t>
  </si>
  <si>
    <t>Pasang pompa pendorong air bersih</t>
  </si>
  <si>
    <t>t</t>
  </si>
  <si>
    <t>Memasang bekisting</t>
  </si>
  <si>
    <t>PEKERJAAN PENGECATAN DAN LAIN-LAIN</t>
  </si>
  <si>
    <t>cm</t>
  </si>
  <si>
    <r>
      <t xml:space="preserve">Memasang </t>
    </r>
    <r>
      <rPr>
        <i/>
        <sz val="11"/>
        <rFont val="Swis721 Cn BT"/>
        <family val="2"/>
      </rPr>
      <t>roof drain stainless</t>
    </r>
  </si>
  <si>
    <t>Roof drain</t>
  </si>
  <si>
    <t>Roof drain stainless</t>
  </si>
  <si>
    <t>Memasang pipa PVC tipe AW diameter 8"</t>
  </si>
  <si>
    <t>Pipa PVC 8"</t>
  </si>
  <si>
    <t>Pipa PVC Ø 8" / 4 m AW</t>
  </si>
  <si>
    <t>Memasang bekisting untuk sloof (asumsi 2x pakai)</t>
  </si>
  <si>
    <t>Waterproofing dak talang beton</t>
  </si>
  <si>
    <t>Pemasangan tangga darurat hollow galvanis finishing cat besi</t>
  </si>
  <si>
    <t>Pemasangan jaringan CCTV lengkap box recorder</t>
  </si>
  <si>
    <t>LATIU</t>
  </si>
  <si>
    <t>BOVEN</t>
  </si>
  <si>
    <t>Memasang kunci tanam dan handel pintu</t>
  </si>
  <si>
    <t>Kunci Tanam dan Handel</t>
  </si>
  <si>
    <t>ACP 3mm dobel</t>
  </si>
  <si>
    <t>lmbr</t>
  </si>
  <si>
    <t xml:space="preserve">Memasang pintu multiplek finishing HPL </t>
  </si>
  <si>
    <t>Multiplek 9mm</t>
  </si>
  <si>
    <t>Multiplek 18mm</t>
  </si>
  <si>
    <t>HPL</t>
  </si>
  <si>
    <t xml:space="preserve">Multiplek 18 mm </t>
  </si>
  <si>
    <t>HPL Taco</t>
  </si>
  <si>
    <t>Pasang engsel pintu</t>
  </si>
  <si>
    <t>Pasang engsel jendela</t>
  </si>
  <si>
    <t>PEKERJAAN PLAFON</t>
  </si>
  <si>
    <t>Aluminium Composit Panel 3mm</t>
  </si>
  <si>
    <t>Aluminium Composit Panel 4mm PVDF</t>
  </si>
  <si>
    <t>Memasang pintu kaca rangka alluminium</t>
  </si>
  <si>
    <t>Memasang pintu ACP rangka alluminium cokelat</t>
  </si>
  <si>
    <t>Memasang jendela &amp; boven kaca rangka aluminium cokelat</t>
  </si>
  <si>
    <t>Pintu Besi Gudang Logistik</t>
  </si>
  <si>
    <t>Pemasangan partisi multiplek finishing HPL</t>
  </si>
  <si>
    <t>Memasang lampu LED  strip</t>
  </si>
  <si>
    <t>Lampu strip</t>
  </si>
  <si>
    <t>Lampu LED strip</t>
  </si>
  <si>
    <t>Memasang Lampu downlight LED Slim ukuran 7 watt"</t>
  </si>
  <si>
    <t>lampu led slim 7 watt</t>
  </si>
  <si>
    <t>lampu led slim 13 watt</t>
  </si>
  <si>
    <t>Memasang Lampu downlight LED Slim ukuran 14 watt"</t>
  </si>
  <si>
    <t>Memasang Lampu SL LED 14 watt"</t>
  </si>
  <si>
    <t>lampu SL 14 watt</t>
  </si>
  <si>
    <t>Lampu LED 14 watt</t>
  </si>
  <si>
    <t>Lampu Downlight Led Slim 14 watt</t>
  </si>
  <si>
    <t>Lampu Downlight Led Slim 7 watt</t>
  </si>
  <si>
    <t>Memasang Lampu downlight LED Slim ukuran 5 watt" (nyala kuning)</t>
  </si>
  <si>
    <t>lampu led slim 5 watt</t>
  </si>
  <si>
    <t>Lampu Downlight Led Slim 5 watt</t>
  </si>
  <si>
    <t>Pemasangan 1 m2 Acian dengan semen MU 200</t>
  </si>
  <si>
    <t>Semen acian MU 200</t>
  </si>
  <si>
    <t>sak</t>
  </si>
  <si>
    <t>Memasang list shadow line galvalum</t>
  </si>
  <si>
    <t>Shadow line</t>
  </si>
  <si>
    <t>PEKERJAAN AIR BERSIH DAN AIR KOTOR</t>
  </si>
  <si>
    <t>Pasang kaca cermin uk. 180x80 cm</t>
  </si>
  <si>
    <t>Pasang kaca cermin uk. 50x80 cm</t>
  </si>
  <si>
    <t>Penggalian 1 m3 Tanah Biasa sedalam s.d.2 m</t>
  </si>
  <si>
    <t>Pemadatan tanah 1 m3 per 20 cm dengan alat trimbis</t>
  </si>
  <si>
    <t>Pasang huruf akrilik lengkap dengan lampu</t>
  </si>
  <si>
    <t>Pemasangan 1 buah Box MCB</t>
  </si>
  <si>
    <t>JUMLAH (A+B)</t>
  </si>
  <si>
    <t>Genteng morando glasur</t>
  </si>
  <si>
    <t>Genteng Bubung morando glasur</t>
  </si>
  <si>
    <t>Memasang bekisting untuk kolom (asumsi 2x pakai)</t>
  </si>
  <si>
    <t>Memasang bekisting (asumsi 2x pakai)</t>
  </si>
  <si>
    <t>Lantai kerja</t>
  </si>
  <si>
    <t>Sloof 12/20</t>
  </si>
  <si>
    <t>Kolom praktis</t>
  </si>
  <si>
    <t>Ringbalk 12/20</t>
  </si>
  <si>
    <t>Balok latai</t>
  </si>
  <si>
    <t>Pengecatan 1m2 plafon</t>
  </si>
  <si>
    <t>PEKERJAAN ATAP</t>
  </si>
  <si>
    <t>Pasang Rangka atap baja ringan C 75</t>
  </si>
  <si>
    <t>Pasang penutup atap galvalum berpasir</t>
  </si>
  <si>
    <t>Galvalum</t>
  </si>
  <si>
    <t>Paku pancing</t>
  </si>
  <si>
    <t>bj</t>
  </si>
  <si>
    <t>Wudhu pria</t>
  </si>
  <si>
    <t>Keramik KM</t>
  </si>
  <si>
    <t>Keramik Wudhu</t>
  </si>
  <si>
    <t>R. sholat</t>
  </si>
  <si>
    <t>Wudhu wanita</t>
  </si>
  <si>
    <t>utama</t>
  </si>
  <si>
    <t>Pemasangan Daya Baru 900 VA</t>
  </si>
  <si>
    <t>Pembuatan septictank dan resapan</t>
  </si>
  <si>
    <t xml:space="preserve">Pemasangan bak air fiber </t>
  </si>
  <si>
    <t>Tandon air fiber 550 m3 (Pinguin)</t>
  </si>
  <si>
    <t xml:space="preserve">Penggalian 1 m3 Tanah Biasa </t>
  </si>
  <si>
    <t>lantai</t>
  </si>
  <si>
    <t>Karanganyar,    Februari 2025</t>
  </si>
  <si>
    <t>DANA ALOKASI UMUM (DAU)</t>
  </si>
  <si>
    <t>KECAMATAN JATEN</t>
  </si>
  <si>
    <t>PEKERJAAN</t>
  </si>
  <si>
    <t>balok latai</t>
  </si>
  <si>
    <t>ring keliling atas</t>
  </si>
  <si>
    <t>P1</t>
  </si>
  <si>
    <t>P2</t>
  </si>
  <si>
    <t>P3</t>
  </si>
  <si>
    <t>J1</t>
  </si>
  <si>
    <t>ROSTER</t>
  </si>
  <si>
    <t>LUBANG</t>
  </si>
  <si>
    <t>atas ring balok</t>
  </si>
  <si>
    <t>dikurangi</t>
  </si>
  <si>
    <t>Bubung galvalum</t>
  </si>
  <si>
    <t>Pasang bubung galvalum pasir</t>
  </si>
  <si>
    <t>Topi-topi</t>
  </si>
  <si>
    <t>topi-topi lengkung</t>
  </si>
  <si>
    <t>topi-topi atas jendela</t>
  </si>
  <si>
    <t>topi-topi atas t. wudhu</t>
  </si>
  <si>
    <t>OPENING</t>
  </si>
  <si>
    <t>Memasang dinding granit tile  uk. (60x60) cm (km, t.wudhu)</t>
  </si>
  <si>
    <t>BELANJA MODAL BANGUNAN TEMPAT IBADAH</t>
  </si>
  <si>
    <t>BIDANG CIPTA KARYA TAHUN 2025</t>
  </si>
  <si>
    <r>
      <t>m</t>
    </r>
    <r>
      <rPr>
        <vertAlign val="superscript"/>
        <sz val="11"/>
        <rFont val="Swis721 Cn BT"/>
        <family val="2"/>
      </rPr>
      <t>2</t>
    </r>
  </si>
  <si>
    <t>SATUAN HARGA UPAH TENAGA 2025</t>
  </si>
  <si>
    <t>SATUAN HARGA BAHAN BANGUNAN 2025</t>
  </si>
  <si>
    <t>Pemasangan Buis beton Ø 20cm untuk gorong-gorong</t>
  </si>
  <si>
    <t>HARGA PERKIRAAN SENDIRI (HPS)</t>
  </si>
  <si>
    <t>PEJABAT PENANDATANGAN KONTRAK</t>
  </si>
  <si>
    <t>CAMAT JATEN</t>
  </si>
  <si>
    <t>JULI PADMI HANDATANI, S.Sos., M.M</t>
  </si>
  <si>
    <t>NIP. 197407 15199503 2 004</t>
  </si>
</sst>
</file>

<file path=xl/styles.xml><?xml version="1.0" encoding="utf-8"?>
<styleSheet xmlns="http://schemas.openxmlformats.org/spreadsheetml/2006/main">
  <numFmts count="14">
    <numFmt numFmtId="41" formatCode="_(* #,##0_);_(* \(#,##0\);_(* &quot;-&quot;_);_(@_)"/>
    <numFmt numFmtId="43" formatCode="_(* #,##0.00_);_(* \(#,##0.00\);_(* &quot;-&quot;??_);_(@_)"/>
    <numFmt numFmtId="164" formatCode="0.000"/>
    <numFmt numFmtId="165" formatCode="0.0000"/>
    <numFmt numFmtId="166" formatCode="_(* #,##0.00_);_(* \(#,##0.00\);_(* &quot;-&quot;_);_(@_)"/>
    <numFmt numFmtId="167" formatCode="_(* #,##0.00_);_(* \(#,##0.00\);_(* &quot;-&quot;???_);_(@_)"/>
    <numFmt numFmtId="168" formatCode="#,##0.000_);\(#,##0.000\)"/>
    <numFmt numFmtId="169" formatCode=";;;"/>
    <numFmt numFmtId="170" formatCode="#,##0.0000_);\(#,##0.0000\)"/>
    <numFmt numFmtId="171" formatCode="#,##0.00000_);\(#,##0.00000\)"/>
    <numFmt numFmtId="172" formatCode="_(* #,##0.0000_);_(* \(#,##0.0000\);_(* &quot;-&quot;_);_(@_)"/>
    <numFmt numFmtId="173" formatCode="_(* #,##0_);_(* \(#,##0\);_(* &quot;-&quot;??_);_(@_)"/>
    <numFmt numFmtId="174" formatCode="_(* #,##0.000_);_(* \(#,##0.000\);_(* &quot;-&quot;??_);_(@_)"/>
    <numFmt numFmtId="175" formatCode="_(* #,##0.000000_);_(* \(#,##0.000000\);_(* &quot;-&quot;??_);_(@_)"/>
  </numFmts>
  <fonts count="62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3"/>
      <name val="Calibri"/>
      <family val="2"/>
      <scheme val="minor"/>
    </font>
    <font>
      <b/>
      <sz val="13"/>
      <name val="Calibri"/>
      <family val="2"/>
      <scheme val="minor"/>
    </font>
    <font>
      <sz val="13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i/>
      <sz val="13"/>
      <name val="Calibri"/>
      <family val="2"/>
      <scheme val="minor"/>
    </font>
    <font>
      <sz val="13"/>
      <name val="Swis721 Cn BT"/>
      <family val="2"/>
    </font>
    <font>
      <b/>
      <sz val="13"/>
      <name val="Swis721 Cn BT"/>
      <family val="2"/>
    </font>
    <font>
      <b/>
      <u/>
      <sz val="13"/>
      <name val="Swis721 Cn BT"/>
      <family val="2"/>
    </font>
    <font>
      <u/>
      <sz val="13"/>
      <name val="Swis721 Cn BT"/>
      <family val="2"/>
    </font>
    <font>
      <b/>
      <sz val="14"/>
      <name val="Swis721 Cn BT"/>
      <family val="2"/>
    </font>
    <font>
      <b/>
      <sz val="13"/>
      <color rgb="FFFF0000"/>
      <name val="Swis721 Cn BT"/>
      <family val="2"/>
    </font>
    <font>
      <sz val="10"/>
      <name val="Swis721 Cn BT"/>
      <family val="2"/>
    </font>
    <font>
      <b/>
      <sz val="10"/>
      <name val="Swis721 Cn BT"/>
      <family val="2"/>
    </font>
    <font>
      <b/>
      <u/>
      <sz val="16"/>
      <name val="Swis721 Cn BT"/>
      <family val="2"/>
    </font>
    <font>
      <sz val="11"/>
      <name val="Swis721 Cn BT"/>
      <family val="2"/>
    </font>
    <font>
      <b/>
      <sz val="11"/>
      <name val="Swis721 Cn BT"/>
      <family val="2"/>
    </font>
    <font>
      <b/>
      <sz val="10"/>
      <color rgb="FFFF0000"/>
      <name val="Swis721 Cn BT"/>
      <family val="2"/>
    </font>
    <font>
      <sz val="9"/>
      <color indexed="8"/>
      <name val="Swis721 Cn BT"/>
      <family val="2"/>
    </font>
    <font>
      <b/>
      <sz val="9"/>
      <color rgb="FFFFFF00"/>
      <name val="Swis721 Cn BT"/>
      <family val="2"/>
    </font>
    <font>
      <sz val="10"/>
      <color theme="1"/>
      <name val="Swis721 Cn BT"/>
      <family val="2"/>
    </font>
    <font>
      <sz val="10"/>
      <color rgb="FFFF0000"/>
      <name val="Swis721 Cn BT"/>
      <family val="2"/>
    </font>
    <font>
      <sz val="13"/>
      <color rgb="FFFF0000"/>
      <name val="Swis721 Cn BT"/>
      <family val="2"/>
    </font>
    <font>
      <b/>
      <sz val="13"/>
      <color indexed="10"/>
      <name val="Swis721 Cn BT"/>
      <family val="2"/>
    </font>
    <font>
      <b/>
      <sz val="26"/>
      <name val="Swis721 Cn BT"/>
      <family val="2"/>
    </font>
    <font>
      <b/>
      <i/>
      <sz val="13"/>
      <name val="Swis721 Cn BT"/>
      <family val="2"/>
    </font>
    <font>
      <b/>
      <sz val="16"/>
      <name val="Swis721 Cn BT"/>
      <family val="2"/>
    </font>
    <font>
      <b/>
      <sz val="10"/>
      <color theme="1"/>
      <name val="Swis721 Cn BT"/>
      <family val="2"/>
    </font>
    <font>
      <u/>
      <sz val="11"/>
      <name val="Swis721 Cn BT"/>
      <family val="2"/>
    </font>
    <font>
      <b/>
      <u/>
      <sz val="11"/>
      <name val="Swis721 Cn BT"/>
      <family val="2"/>
    </font>
    <font>
      <i/>
      <sz val="11"/>
      <name val="Swis721 Cn BT"/>
      <family val="2"/>
    </font>
    <font>
      <u/>
      <sz val="13"/>
      <color rgb="FFFF0000"/>
      <name val="Swis721 Cn BT"/>
      <family val="2"/>
    </font>
    <font>
      <sz val="10"/>
      <color rgb="FFFF0000"/>
      <name val="Arial"/>
      <family val="2"/>
    </font>
    <font>
      <i/>
      <sz val="13"/>
      <name val="Swis721 Cn BT"/>
      <family val="2"/>
    </font>
    <font>
      <sz val="14"/>
      <name val="Swis721 Cn BT"/>
      <family val="2"/>
    </font>
    <font>
      <sz val="11"/>
      <color indexed="10"/>
      <name val="Swis721 Cn BT"/>
      <family val="2"/>
    </font>
    <font>
      <sz val="11"/>
      <color rgb="FF0070C0"/>
      <name val="Swis721 Cn BT"/>
      <family val="2"/>
    </font>
    <font>
      <sz val="11"/>
      <color rgb="FFFF0000"/>
      <name val="Swis721 Cn BT"/>
      <family val="2"/>
    </font>
    <font>
      <b/>
      <sz val="11"/>
      <color indexed="10"/>
      <name val="Swis721 Cn BT"/>
      <family val="2"/>
    </font>
    <font>
      <b/>
      <sz val="11"/>
      <color rgb="FF0070C0"/>
      <name val="Swis721 Cn BT"/>
      <family val="2"/>
    </font>
    <font>
      <vertAlign val="superscript"/>
      <sz val="11"/>
      <name val="Swis721 Cn BT"/>
      <family val="2"/>
    </font>
    <font>
      <sz val="10"/>
      <color theme="0"/>
      <name val="Swis721 Cn BT"/>
      <family val="2"/>
    </font>
    <font>
      <sz val="11"/>
      <color theme="0"/>
      <name val="Swis721 Cn BT"/>
      <family val="2"/>
    </font>
    <font>
      <b/>
      <sz val="11"/>
      <color theme="0"/>
      <name val="Swis721 Cn BT"/>
      <family val="2"/>
    </font>
    <font>
      <u/>
      <sz val="11"/>
      <color theme="0"/>
      <name val="Swis721 Cn BT"/>
      <family val="2"/>
    </font>
    <font>
      <b/>
      <sz val="14"/>
      <color theme="0"/>
      <name val="Swis721 Cn BT"/>
      <family val="2"/>
    </font>
  </fonts>
  <fills count="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</fills>
  <borders count="2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dotted">
        <color indexed="8"/>
      </bottom>
      <diagonal/>
    </border>
    <border>
      <left style="thin">
        <color indexed="8"/>
      </left>
      <right/>
      <top style="medium">
        <color indexed="8"/>
      </top>
      <bottom style="dotted">
        <color indexed="8"/>
      </bottom>
      <diagonal/>
    </border>
    <border>
      <left/>
      <right/>
      <top style="medium">
        <color indexed="8"/>
      </top>
      <bottom style="dotted">
        <color indexed="8"/>
      </bottom>
      <diagonal/>
    </border>
    <border>
      <left/>
      <right style="thin">
        <color indexed="8"/>
      </right>
      <top style="medium">
        <color indexed="8"/>
      </top>
      <bottom style="dotted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dotted">
        <color indexed="8"/>
      </bottom>
      <diagonal/>
    </border>
    <border>
      <left style="medium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/>
      <right/>
      <top style="dotted">
        <color indexed="8"/>
      </top>
      <bottom style="dotted">
        <color indexed="8"/>
      </bottom>
      <diagonal/>
    </border>
    <border>
      <left/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medium">
        <color indexed="8"/>
      </right>
      <top style="dotted">
        <color indexed="8"/>
      </top>
      <bottom style="dotted">
        <color indexed="8"/>
      </bottom>
      <diagonal/>
    </border>
    <border>
      <left style="medium">
        <color indexed="8"/>
      </left>
      <right/>
      <top style="dotted">
        <color indexed="8"/>
      </top>
      <bottom style="medium">
        <color indexed="8"/>
      </bottom>
      <diagonal/>
    </border>
    <border>
      <left style="thin">
        <color indexed="8"/>
      </left>
      <right/>
      <top style="dotted">
        <color indexed="8"/>
      </top>
      <bottom style="medium">
        <color indexed="8"/>
      </bottom>
      <diagonal/>
    </border>
    <border>
      <left/>
      <right/>
      <top style="dotted">
        <color indexed="8"/>
      </top>
      <bottom style="medium">
        <color indexed="8"/>
      </bottom>
      <diagonal/>
    </border>
    <border>
      <left/>
      <right style="thin">
        <color indexed="8"/>
      </right>
      <top style="dotted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dotted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medium">
        <color indexed="8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dotted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tted">
        <color auto="1"/>
      </bottom>
      <diagonal/>
    </border>
    <border>
      <left style="hair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hair">
        <color auto="1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hair">
        <color auto="1"/>
      </right>
      <top style="dotted">
        <color auto="1"/>
      </top>
      <bottom style="dotted">
        <color auto="1"/>
      </bottom>
      <diagonal/>
    </border>
    <border>
      <left style="hair">
        <color auto="1"/>
      </left>
      <right style="hair">
        <color auto="1"/>
      </right>
      <top style="dotted">
        <color auto="1"/>
      </top>
      <bottom style="dotted">
        <color auto="1"/>
      </bottom>
      <diagonal/>
    </border>
    <border>
      <left style="hair">
        <color auto="1"/>
      </left>
      <right/>
      <top style="dotted">
        <color auto="1"/>
      </top>
      <bottom style="dotted">
        <color auto="1"/>
      </bottom>
      <diagonal/>
    </border>
    <border>
      <left/>
      <right style="hair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hair">
        <color auto="1"/>
      </right>
      <top style="dotted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dotted">
        <color auto="1"/>
      </top>
      <bottom style="thin">
        <color indexed="64"/>
      </bottom>
      <diagonal/>
    </border>
    <border>
      <left style="hair">
        <color auto="1"/>
      </left>
      <right/>
      <top style="dotted">
        <color auto="1"/>
      </top>
      <bottom style="thin">
        <color indexed="64"/>
      </bottom>
      <diagonal/>
    </border>
    <border>
      <left/>
      <right/>
      <top style="dotted">
        <color auto="1"/>
      </top>
      <bottom style="thin">
        <color indexed="64"/>
      </bottom>
      <diagonal/>
    </border>
    <border>
      <left/>
      <right style="hair">
        <color auto="1"/>
      </right>
      <top style="dotted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thin">
        <color indexed="64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8"/>
      </bottom>
      <diagonal/>
    </border>
    <border>
      <left style="thin">
        <color indexed="8"/>
      </left>
      <right style="thin">
        <color theme="1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/>
      <right/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/>
      <top style="hair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dotted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dotted">
        <color indexed="8"/>
      </bottom>
      <diagonal/>
    </border>
    <border>
      <left style="medium">
        <color indexed="64"/>
      </left>
      <right/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medium">
        <color indexed="64"/>
      </right>
      <top style="dotted">
        <color indexed="8"/>
      </top>
      <bottom style="dotted">
        <color indexed="8"/>
      </bottom>
      <diagonal/>
    </border>
    <border>
      <left style="medium">
        <color indexed="64"/>
      </left>
      <right/>
      <top style="dotted">
        <color indexed="8"/>
      </top>
      <bottom style="medium">
        <color indexed="64"/>
      </bottom>
      <diagonal/>
    </border>
    <border>
      <left style="thin">
        <color indexed="8"/>
      </left>
      <right/>
      <top style="dotted">
        <color indexed="8"/>
      </top>
      <bottom style="medium">
        <color indexed="64"/>
      </bottom>
      <diagonal/>
    </border>
    <border>
      <left/>
      <right/>
      <top style="dotted">
        <color indexed="8"/>
      </top>
      <bottom style="medium">
        <color indexed="64"/>
      </bottom>
      <diagonal/>
    </border>
    <border>
      <left/>
      <right style="thin">
        <color indexed="8"/>
      </right>
      <top style="dotted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dotted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auto="1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7" fillId="0" borderId="0"/>
    <xf numFmtId="0" fontId="1" fillId="0" borderId="0"/>
    <xf numFmtId="0" fontId="8" fillId="0" borderId="0"/>
    <xf numFmtId="0" fontId="11" fillId="0" borderId="0"/>
    <xf numFmtId="0" fontId="5" fillId="0" borderId="0"/>
    <xf numFmtId="0" fontId="4" fillId="0" borderId="0"/>
    <xf numFmtId="9" fontId="6" fillId="0" borderId="0" applyFont="0" applyFill="0" applyBorder="0" applyAlignment="0" applyProtection="0"/>
    <xf numFmtId="41" fontId="12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10">
    <xf numFmtId="0" fontId="0" fillId="0" borderId="0" xfId="0"/>
    <xf numFmtId="0" fontId="1" fillId="0" borderId="0" xfId="28"/>
    <xf numFmtId="0" fontId="1" fillId="0" borderId="0" xfId="29" applyProtection="1">
      <protection locked="0" hidden="1"/>
    </xf>
    <xf numFmtId="39" fontId="10" fillId="2" borderId="0" xfId="29" applyNumberFormat="1" applyFont="1" applyFill="1" applyProtection="1">
      <protection locked="0" hidden="1"/>
    </xf>
    <xf numFmtId="39" fontId="1" fillId="0" borderId="0" xfId="29" applyNumberFormat="1" applyProtection="1">
      <protection locked="0" hidden="1"/>
    </xf>
    <xf numFmtId="0" fontId="13" fillId="2" borderId="0" xfId="29" applyFont="1" applyFill="1"/>
    <xf numFmtId="0" fontId="1" fillId="2" borderId="0" xfId="29" applyFill="1" applyProtection="1">
      <protection locked="0" hidden="1"/>
    </xf>
    <xf numFmtId="0" fontId="1" fillId="2" borderId="0" xfId="28" applyFill="1"/>
    <xf numFmtId="0" fontId="17" fillId="0" borderId="0" xfId="35" applyFont="1" applyAlignment="1">
      <alignment vertical="center"/>
    </xf>
    <xf numFmtId="174" fontId="17" fillId="0" borderId="0" xfId="36" applyNumberFormat="1" applyFont="1" applyFill="1" applyAlignment="1">
      <alignment vertical="center"/>
    </xf>
    <xf numFmtId="43" fontId="17" fillId="0" borderId="0" xfId="36" applyFont="1" applyFill="1" applyAlignment="1">
      <alignment vertical="center"/>
    </xf>
    <xf numFmtId="0" fontId="19" fillId="0" borderId="0" xfId="35" applyFont="1" applyAlignment="1">
      <alignment vertical="center"/>
    </xf>
    <xf numFmtId="0" fontId="17" fillId="0" borderId="0" xfId="0" applyFont="1"/>
    <xf numFmtId="43" fontId="17" fillId="0" borderId="0" xfId="0" applyNumberFormat="1" applyFont="1"/>
    <xf numFmtId="41" fontId="17" fillId="0" borderId="0" xfId="10" applyNumberFormat="1" applyFont="1" applyAlignment="1">
      <alignment vertical="center"/>
    </xf>
    <xf numFmtId="9" fontId="17" fillId="0" borderId="0" xfId="0" applyNumberFormat="1" applyFont="1"/>
    <xf numFmtId="0" fontId="18" fillId="0" borderId="0" xfId="35" applyFont="1" applyAlignment="1">
      <alignment horizontal="center" vertical="center"/>
    </xf>
    <xf numFmtId="0" fontId="18" fillId="0" borderId="32" xfId="35" applyFont="1" applyBorder="1" applyAlignment="1">
      <alignment horizontal="center" vertical="center"/>
    </xf>
    <xf numFmtId="174" fontId="18" fillId="0" borderId="32" xfId="36" applyNumberFormat="1" applyFont="1" applyFill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17" fillId="0" borderId="32" xfId="35" applyFont="1" applyBorder="1" applyAlignment="1">
      <alignment vertical="center"/>
    </xf>
    <xf numFmtId="174" fontId="17" fillId="0" borderId="32" xfId="36" applyNumberFormat="1" applyFont="1" applyFill="1" applyBorder="1" applyAlignment="1">
      <alignment vertical="center"/>
    </xf>
    <xf numFmtId="43" fontId="17" fillId="0" borderId="33" xfId="36" applyFont="1" applyFill="1" applyBorder="1" applyAlignment="1">
      <alignment vertical="center"/>
    </xf>
    <xf numFmtId="0" fontId="19" fillId="0" borderId="34" xfId="35" applyFont="1" applyBorder="1" applyAlignment="1">
      <alignment vertical="center"/>
    </xf>
    <xf numFmtId="43" fontId="18" fillId="0" borderId="32" xfId="36" applyFont="1" applyFill="1" applyBorder="1" applyAlignment="1">
      <alignment horizontal="center" vertical="center"/>
    </xf>
    <xf numFmtId="43" fontId="18" fillId="0" borderId="35" xfId="36" applyFont="1" applyFill="1" applyBorder="1" applyAlignment="1">
      <alignment horizontal="center" vertical="center"/>
    </xf>
    <xf numFmtId="0" fontId="17" fillId="0" borderId="3" xfId="0" applyFont="1" applyBorder="1" applyAlignment="1">
      <alignment vertical="center"/>
    </xf>
    <xf numFmtId="0" fontId="17" fillId="0" borderId="45" xfId="35" applyFont="1" applyBorder="1" applyAlignment="1">
      <alignment vertical="center"/>
    </xf>
    <xf numFmtId="174" fontId="17" fillId="0" borderId="45" xfId="36" applyNumberFormat="1" applyFont="1" applyFill="1" applyBorder="1" applyAlignment="1">
      <alignment vertical="center"/>
    </xf>
    <xf numFmtId="43" fontId="17" fillId="0" borderId="45" xfId="36" applyFont="1" applyFill="1" applyBorder="1" applyAlignment="1">
      <alignment vertical="center"/>
    </xf>
    <xf numFmtId="0" fontId="19" fillId="0" borderId="45" xfId="35" applyFont="1" applyBorder="1" applyAlignment="1">
      <alignment vertical="center"/>
    </xf>
    <xf numFmtId="43" fontId="17" fillId="0" borderId="46" xfId="36" applyFont="1" applyFill="1" applyBorder="1" applyAlignment="1">
      <alignment vertical="center"/>
    </xf>
    <xf numFmtId="0" fontId="18" fillId="0" borderId="32" xfId="35" applyFont="1" applyBorder="1" applyAlignment="1">
      <alignment vertical="center"/>
    </xf>
    <xf numFmtId="174" fontId="18" fillId="0" borderId="32" xfId="36" applyNumberFormat="1" applyFont="1" applyFill="1" applyBorder="1" applyAlignment="1">
      <alignment vertical="center"/>
    </xf>
    <xf numFmtId="43" fontId="18" fillId="0" borderId="33" xfId="36" applyFont="1" applyFill="1" applyBorder="1" applyAlignment="1">
      <alignment vertical="center"/>
    </xf>
    <xf numFmtId="43" fontId="17" fillId="0" borderId="32" xfId="36" applyFont="1" applyFill="1" applyBorder="1" applyAlignment="1">
      <alignment vertical="center"/>
    </xf>
    <xf numFmtId="43" fontId="17" fillId="0" borderId="47" xfId="36" applyFont="1" applyFill="1" applyBorder="1" applyAlignment="1">
      <alignment vertical="center"/>
    </xf>
    <xf numFmtId="0" fontId="18" fillId="0" borderId="48" xfId="35" applyFont="1" applyBorder="1" applyAlignment="1">
      <alignment horizontal="center" vertical="center"/>
    </xf>
    <xf numFmtId="0" fontId="17" fillId="0" borderId="48" xfId="35" applyFont="1" applyBorder="1" applyAlignment="1">
      <alignment horizontal="center" vertical="center"/>
    </xf>
    <xf numFmtId="174" fontId="18" fillId="0" borderId="48" xfId="36" applyNumberFormat="1" applyFont="1" applyFill="1" applyBorder="1" applyAlignment="1">
      <alignment vertical="center"/>
    </xf>
    <xf numFmtId="43" fontId="18" fillId="0" borderId="49" xfId="36" applyFont="1" applyFill="1" applyBorder="1" applyAlignment="1">
      <alignment vertical="center"/>
    </xf>
    <xf numFmtId="0" fontId="19" fillId="0" borderId="50" xfId="35" applyFont="1" applyBorder="1" applyAlignment="1">
      <alignment vertical="center"/>
    </xf>
    <xf numFmtId="43" fontId="17" fillId="0" borderId="48" xfId="36" applyFont="1" applyFill="1" applyBorder="1" applyAlignment="1">
      <alignment vertical="center"/>
    </xf>
    <xf numFmtId="43" fontId="18" fillId="0" borderId="47" xfId="36" applyFont="1" applyFill="1" applyBorder="1" applyAlignment="1">
      <alignment vertical="center"/>
    </xf>
    <xf numFmtId="41" fontId="17" fillId="0" borderId="0" xfId="0" applyNumberFormat="1" applyFont="1"/>
    <xf numFmtId="0" fontId="14" fillId="0" borderId="0" xfId="0" applyFont="1" applyAlignment="1">
      <alignment horizontal="center" vertical="center"/>
    </xf>
    <xf numFmtId="0" fontId="18" fillId="0" borderId="106" xfId="35" applyFont="1" applyBorder="1" applyAlignment="1">
      <alignment horizontal="center" vertical="center"/>
    </xf>
    <xf numFmtId="0" fontId="17" fillId="0" borderId="107" xfId="35" applyFont="1" applyBorder="1" applyAlignment="1">
      <alignment vertical="center"/>
    </xf>
    <xf numFmtId="174" fontId="17" fillId="0" borderId="107" xfId="36" applyNumberFormat="1" applyFont="1" applyFill="1" applyBorder="1" applyAlignment="1">
      <alignment vertical="center"/>
    </xf>
    <xf numFmtId="43" fontId="17" fillId="0" borderId="108" xfId="36" applyFont="1" applyFill="1" applyBorder="1" applyAlignment="1">
      <alignment vertical="center"/>
    </xf>
    <xf numFmtId="0" fontId="17" fillId="0" borderId="109" xfId="35" applyFont="1" applyBorder="1" applyAlignment="1">
      <alignment vertical="center"/>
    </xf>
    <xf numFmtId="0" fontId="19" fillId="0" borderId="110" xfId="35" applyFont="1" applyBorder="1" applyAlignment="1">
      <alignment vertical="center"/>
    </xf>
    <xf numFmtId="0" fontId="17" fillId="0" borderId="112" xfId="0" applyFont="1" applyBorder="1" applyAlignment="1">
      <alignment horizontal="center" vertical="center"/>
    </xf>
    <xf numFmtId="0" fontId="17" fillId="0" borderId="113" xfId="0" applyFont="1" applyBorder="1" applyAlignment="1">
      <alignment horizontal="center" vertical="center"/>
    </xf>
    <xf numFmtId="0" fontId="18" fillId="0" borderId="114" xfId="35" applyFont="1" applyBorder="1" applyAlignment="1">
      <alignment horizontal="center" vertical="center"/>
    </xf>
    <xf numFmtId="0" fontId="17" fillId="0" borderId="115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8" fillId="0" borderId="116" xfId="35" applyFont="1" applyBorder="1" applyAlignment="1">
      <alignment horizontal="center" vertical="center"/>
    </xf>
    <xf numFmtId="43" fontId="17" fillId="0" borderId="117" xfId="36" applyFont="1" applyFill="1" applyBorder="1" applyAlignment="1">
      <alignment vertical="center"/>
    </xf>
    <xf numFmtId="43" fontId="17" fillId="0" borderId="118" xfId="36" applyFont="1" applyFill="1" applyBorder="1" applyAlignment="1">
      <alignment vertical="center"/>
    </xf>
    <xf numFmtId="0" fontId="18" fillId="0" borderId="119" xfId="35" applyFont="1" applyBorder="1" applyAlignment="1">
      <alignment horizontal="center" vertical="center"/>
    </xf>
    <xf numFmtId="43" fontId="18" fillId="0" borderId="118" xfId="36" applyFont="1" applyFill="1" applyBorder="1" applyAlignment="1">
      <alignment vertical="center"/>
    </xf>
    <xf numFmtId="0" fontId="15" fillId="0" borderId="120" xfId="35" applyFont="1" applyBorder="1" applyAlignment="1">
      <alignment horizontal="center" vertical="center"/>
    </xf>
    <xf numFmtId="0" fontId="16" fillId="0" borderId="121" xfId="35" applyFont="1" applyBorder="1" applyAlignment="1">
      <alignment vertical="center"/>
    </xf>
    <xf numFmtId="174" fontId="16" fillId="0" borderId="121" xfId="36" applyNumberFormat="1" applyFont="1" applyFill="1" applyBorder="1" applyAlignment="1">
      <alignment vertical="center"/>
    </xf>
    <xf numFmtId="0" fontId="16" fillId="0" borderId="121" xfId="35" applyFont="1" applyBorder="1" applyAlignment="1">
      <alignment horizontal="center" vertical="center"/>
    </xf>
    <xf numFmtId="43" fontId="15" fillId="0" borderId="122" xfId="36" applyFont="1" applyFill="1" applyBorder="1" applyAlignment="1">
      <alignment vertical="center"/>
    </xf>
    <xf numFmtId="0" fontId="16" fillId="0" borderId="123" xfId="35" applyFont="1" applyBorder="1" applyAlignment="1">
      <alignment vertical="center"/>
    </xf>
    <xf numFmtId="0" fontId="20" fillId="0" borderId="124" xfId="35" applyFont="1" applyBorder="1" applyAlignment="1">
      <alignment vertical="center"/>
    </xf>
    <xf numFmtId="43" fontId="16" fillId="0" borderId="121" xfId="36" applyFont="1" applyFill="1" applyBorder="1" applyAlignment="1">
      <alignment vertical="center"/>
    </xf>
    <xf numFmtId="43" fontId="15" fillId="0" borderId="125" xfId="36" applyFont="1" applyFill="1" applyBorder="1" applyAlignment="1">
      <alignment vertical="center"/>
    </xf>
    <xf numFmtId="43" fontId="18" fillId="0" borderId="126" xfId="36" applyFont="1" applyFill="1" applyBorder="1" applyAlignment="1">
      <alignment vertical="center"/>
    </xf>
    <xf numFmtId="0" fontId="15" fillId="0" borderId="127" xfId="35" applyFont="1" applyBorder="1" applyAlignment="1">
      <alignment horizontal="center" vertical="center"/>
    </xf>
    <xf numFmtId="0" fontId="16" fillId="0" borderId="128" xfId="35" applyFont="1" applyBorder="1" applyAlignment="1">
      <alignment vertical="center"/>
    </xf>
    <xf numFmtId="174" fontId="16" fillId="0" borderId="128" xfId="36" applyNumberFormat="1" applyFont="1" applyFill="1" applyBorder="1" applyAlignment="1">
      <alignment vertical="center"/>
    </xf>
    <xf numFmtId="0" fontId="16" fillId="0" borderId="128" xfId="35" applyFont="1" applyBorder="1" applyAlignment="1">
      <alignment horizontal="center" vertical="center"/>
    </xf>
    <xf numFmtId="43" fontId="16" fillId="0" borderId="129" xfId="36" applyFont="1" applyFill="1" applyBorder="1" applyAlignment="1">
      <alignment vertical="center"/>
    </xf>
    <xf numFmtId="0" fontId="16" fillId="0" borderId="85" xfId="35" applyFont="1" applyBorder="1" applyAlignment="1">
      <alignment vertical="center"/>
    </xf>
    <xf numFmtId="0" fontId="20" fillId="0" borderId="130" xfId="35" applyFont="1" applyBorder="1" applyAlignment="1">
      <alignment vertical="center"/>
    </xf>
    <xf numFmtId="43" fontId="16" fillId="0" borderId="128" xfId="36" applyFont="1" applyFill="1" applyBorder="1" applyAlignment="1">
      <alignment vertical="center"/>
    </xf>
    <xf numFmtId="43" fontId="15" fillId="0" borderId="129" xfId="36" applyFont="1" applyFill="1" applyBorder="1" applyAlignment="1">
      <alignment vertical="center"/>
    </xf>
    <xf numFmtId="9" fontId="16" fillId="0" borderId="87" xfId="1" applyNumberFormat="1" applyFont="1" applyFill="1" applyBorder="1" applyAlignment="1">
      <alignment horizontal="center" vertical="center"/>
    </xf>
    <xf numFmtId="43" fontId="16" fillId="0" borderId="87" xfId="1" applyFont="1" applyFill="1" applyBorder="1" applyAlignment="1">
      <alignment horizontal="center" vertical="center"/>
    </xf>
    <xf numFmtId="43" fontId="17" fillId="0" borderId="88" xfId="1" applyFont="1" applyFill="1" applyBorder="1" applyAlignment="1">
      <alignment vertical="center"/>
    </xf>
    <xf numFmtId="0" fontId="18" fillId="0" borderId="127" xfId="35" applyFont="1" applyBorder="1" applyAlignment="1">
      <alignment horizontal="center" vertical="center"/>
    </xf>
    <xf numFmtId="0" fontId="17" fillId="0" borderId="128" xfId="35" applyFont="1" applyBorder="1" applyAlignment="1">
      <alignment vertical="center"/>
    </xf>
    <xf numFmtId="174" fontId="17" fillId="0" borderId="128" xfId="36" applyNumberFormat="1" applyFont="1" applyFill="1" applyBorder="1" applyAlignment="1">
      <alignment vertical="center"/>
    </xf>
    <xf numFmtId="0" fontId="17" fillId="0" borderId="128" xfId="35" applyFont="1" applyBorder="1" applyAlignment="1">
      <alignment horizontal="center" vertical="center"/>
    </xf>
    <xf numFmtId="43" fontId="18" fillId="0" borderId="129" xfId="36" applyFont="1" applyFill="1" applyBorder="1" applyAlignment="1">
      <alignment vertical="center"/>
    </xf>
    <xf numFmtId="0" fontId="17" fillId="0" borderId="85" xfId="35" applyFont="1" applyBorder="1" applyAlignment="1">
      <alignment vertical="center"/>
    </xf>
    <xf numFmtId="0" fontId="19" fillId="0" borderId="130" xfId="35" applyFont="1" applyBorder="1" applyAlignment="1">
      <alignment vertical="center"/>
    </xf>
    <xf numFmtId="43" fontId="17" fillId="0" borderId="128" xfId="36" applyFont="1" applyFill="1" applyBorder="1" applyAlignment="1">
      <alignment vertical="center"/>
    </xf>
    <xf numFmtId="43" fontId="18" fillId="0" borderId="87" xfId="36" applyFont="1" applyFill="1" applyBorder="1" applyAlignment="1">
      <alignment vertical="center"/>
    </xf>
    <xf numFmtId="43" fontId="18" fillId="0" borderId="88" xfId="36" applyFont="1" applyFill="1" applyBorder="1" applyAlignment="1">
      <alignment vertical="center"/>
    </xf>
    <xf numFmtId="0" fontId="17" fillId="0" borderId="128" xfId="12" applyFont="1" applyBorder="1" applyAlignment="1">
      <alignment horizontal="center" vertical="center"/>
    </xf>
    <xf numFmtId="43" fontId="17" fillId="0" borderId="129" xfId="36" applyFont="1" applyFill="1" applyBorder="1" applyAlignment="1">
      <alignment vertical="center"/>
    </xf>
    <xf numFmtId="9" fontId="17" fillId="0" borderId="87" xfId="1" applyNumberFormat="1" applyFont="1" applyFill="1" applyBorder="1" applyAlignment="1">
      <alignment horizontal="center" vertical="center"/>
    </xf>
    <xf numFmtId="43" fontId="17" fillId="0" borderId="87" xfId="1" applyFont="1" applyFill="1" applyBorder="1" applyAlignment="1">
      <alignment horizontal="center" vertical="center"/>
    </xf>
    <xf numFmtId="0" fontId="18" fillId="0" borderId="131" xfId="35" applyFont="1" applyBorder="1" applyAlignment="1">
      <alignment horizontal="center" vertical="center"/>
    </xf>
    <xf numFmtId="0" fontId="17" fillId="0" borderId="132" xfId="35" applyFont="1" applyBorder="1" applyAlignment="1">
      <alignment vertical="center"/>
    </xf>
    <xf numFmtId="174" fontId="17" fillId="0" borderId="132" xfId="36" applyNumberFormat="1" applyFont="1" applyFill="1" applyBorder="1" applyAlignment="1">
      <alignment vertical="center"/>
    </xf>
    <xf numFmtId="0" fontId="17" fillId="0" borderId="132" xfId="12" applyFont="1" applyBorder="1" applyAlignment="1">
      <alignment horizontal="center" vertical="center"/>
    </xf>
    <xf numFmtId="43" fontId="17" fillId="0" borderId="133" xfId="36" applyFont="1" applyFill="1" applyBorder="1" applyAlignment="1">
      <alignment vertical="center"/>
    </xf>
    <xf numFmtId="0" fontId="17" fillId="0" borderId="134" xfId="35" applyFont="1" applyBorder="1" applyAlignment="1">
      <alignment vertical="center"/>
    </xf>
    <xf numFmtId="0" fontId="19" fillId="0" borderId="135" xfId="35" applyFont="1" applyBorder="1" applyAlignment="1">
      <alignment vertical="center"/>
    </xf>
    <xf numFmtId="43" fontId="17" fillId="0" borderId="132" xfId="36" applyFont="1" applyFill="1" applyBorder="1" applyAlignment="1">
      <alignment vertical="center"/>
    </xf>
    <xf numFmtId="9" fontId="17" fillId="0" borderId="136" xfId="1" applyNumberFormat="1" applyFont="1" applyFill="1" applyBorder="1" applyAlignment="1">
      <alignment horizontal="center" vertical="center"/>
    </xf>
    <xf numFmtId="43" fontId="17" fillId="0" borderId="136" xfId="1" applyFont="1" applyFill="1" applyBorder="1" applyAlignment="1">
      <alignment horizontal="center" vertical="center"/>
    </xf>
    <xf numFmtId="43" fontId="17" fillId="0" borderId="137" xfId="1" applyFont="1" applyFill="1" applyBorder="1" applyAlignment="1">
      <alignment vertical="center"/>
    </xf>
    <xf numFmtId="0" fontId="17" fillId="0" borderId="48" xfId="35" applyFont="1" applyBorder="1" applyAlignment="1">
      <alignment vertical="center"/>
    </xf>
    <xf numFmtId="174" fontId="17" fillId="0" borderId="48" xfId="36" applyNumberFormat="1" applyFont="1" applyFill="1" applyBorder="1" applyAlignment="1">
      <alignment horizontal="center" vertical="center"/>
    </xf>
    <xf numFmtId="43" fontId="18" fillId="0" borderId="49" xfId="36" applyFont="1" applyFill="1" applyBorder="1" applyAlignment="1">
      <alignment horizontal="left" vertical="center"/>
    </xf>
    <xf numFmtId="9" fontId="18" fillId="0" borderId="47" xfId="21" applyFont="1" applyFill="1" applyBorder="1" applyAlignment="1">
      <alignment horizontal="center" vertical="center"/>
    </xf>
    <xf numFmtId="43" fontId="17" fillId="0" borderId="47" xfId="1" applyFont="1" applyFill="1" applyBorder="1" applyAlignment="1">
      <alignment horizontal="right" vertical="center"/>
    </xf>
    <xf numFmtId="43" fontId="18" fillId="0" borderId="118" xfId="1" applyFont="1" applyFill="1" applyBorder="1" applyAlignment="1">
      <alignment horizontal="right" vertical="center"/>
    </xf>
    <xf numFmtId="9" fontId="17" fillId="0" borderId="50" xfId="35" applyNumberFormat="1" applyFont="1" applyBorder="1" applyAlignment="1">
      <alignment vertical="center"/>
    </xf>
    <xf numFmtId="0" fontId="18" fillId="0" borderId="138" xfId="35" applyFont="1" applyBorder="1" applyAlignment="1">
      <alignment horizontal="center" vertical="center"/>
    </xf>
    <xf numFmtId="0" fontId="17" fillId="0" borderId="139" xfId="35" applyFont="1" applyBorder="1" applyAlignment="1">
      <alignment vertical="center"/>
    </xf>
    <xf numFmtId="0" fontId="17" fillId="0" borderId="139" xfId="35" applyFont="1" applyBorder="1" applyAlignment="1">
      <alignment horizontal="center" vertical="center"/>
    </xf>
    <xf numFmtId="174" fontId="17" fillId="0" borderId="139" xfId="36" applyNumberFormat="1" applyFont="1" applyFill="1" applyBorder="1" applyAlignment="1">
      <alignment horizontal="center" vertical="center"/>
    </xf>
    <xf numFmtId="0" fontId="18" fillId="0" borderId="139" xfId="35" applyFont="1" applyBorder="1" applyAlignment="1">
      <alignment horizontal="center" vertical="center"/>
    </xf>
    <xf numFmtId="43" fontId="18" fillId="0" borderId="140" xfId="36" applyFont="1" applyFill="1" applyBorder="1" applyAlignment="1">
      <alignment horizontal="left" vertical="center"/>
    </xf>
    <xf numFmtId="0" fontId="17" fillId="0" borderId="141" xfId="35" applyFont="1" applyBorder="1" applyAlignment="1">
      <alignment vertical="center"/>
    </xf>
    <xf numFmtId="0" fontId="19" fillId="0" borderId="142" xfId="35" applyFont="1" applyBorder="1" applyAlignment="1">
      <alignment vertical="center"/>
    </xf>
    <xf numFmtId="43" fontId="17" fillId="0" borderId="139" xfId="36" applyFont="1" applyFill="1" applyBorder="1" applyAlignment="1">
      <alignment vertical="center"/>
    </xf>
    <xf numFmtId="43" fontId="18" fillId="0" borderId="140" xfId="36" applyFont="1" applyFill="1" applyBorder="1" applyAlignment="1">
      <alignment vertical="center"/>
    </xf>
    <xf numFmtId="43" fontId="18" fillId="0" borderId="143" xfId="36" applyFont="1" applyFill="1" applyBorder="1" applyAlignment="1">
      <alignment vertical="center"/>
    </xf>
    <xf numFmtId="43" fontId="18" fillId="0" borderId="144" xfId="36" applyFont="1" applyFill="1" applyBorder="1" applyAlignment="1">
      <alignment vertical="center"/>
    </xf>
    <xf numFmtId="41" fontId="22" fillId="0" borderId="0" xfId="2" applyFont="1" applyFill="1" applyAlignment="1">
      <alignment horizontal="centerContinuous" vertical="center"/>
    </xf>
    <xf numFmtId="41" fontId="23" fillId="0" borderId="0" xfId="2" applyFont="1" applyFill="1" applyAlignment="1">
      <alignment horizontal="centerContinuous" vertical="center"/>
    </xf>
    <xf numFmtId="166" fontId="22" fillId="0" borderId="0" xfId="2" applyNumberFormat="1" applyFont="1" applyFill="1" applyAlignment="1">
      <alignment horizontal="centerContinuous" vertical="center"/>
    </xf>
    <xf numFmtId="166" fontId="23" fillId="0" borderId="0" xfId="2" applyNumberFormat="1" applyFont="1" applyFill="1" applyAlignment="1">
      <alignment horizontal="centerContinuous" vertical="center"/>
    </xf>
    <xf numFmtId="0" fontId="22" fillId="0" borderId="0" xfId="11" applyFont="1" applyAlignment="1">
      <alignment vertical="center"/>
    </xf>
    <xf numFmtId="41" fontId="22" fillId="0" borderId="0" xfId="2" applyFont="1" applyFill="1" applyAlignment="1">
      <alignment vertical="center"/>
    </xf>
    <xf numFmtId="0" fontId="24" fillId="0" borderId="0" xfId="11" applyFont="1" applyAlignment="1">
      <alignment horizontal="center" vertical="center"/>
    </xf>
    <xf numFmtId="0" fontId="25" fillId="0" borderId="0" xfId="11" applyFont="1" applyAlignment="1">
      <alignment horizontal="center" vertical="center"/>
    </xf>
    <xf numFmtId="0" fontId="23" fillId="0" borderId="0" xfId="11" applyFont="1" applyAlignment="1">
      <alignment vertical="center"/>
    </xf>
    <xf numFmtId="0" fontId="23" fillId="0" borderId="0" xfId="11" applyFont="1" applyAlignment="1">
      <alignment horizontal="center" vertical="center"/>
    </xf>
    <xf numFmtId="0" fontId="23" fillId="0" borderId="0" xfId="11" applyFont="1" applyAlignment="1">
      <alignment vertical="top" wrapText="1"/>
    </xf>
    <xf numFmtId="41" fontId="22" fillId="0" borderId="0" xfId="2" applyFont="1" applyFill="1" applyAlignment="1">
      <alignment horizontal="center" vertical="center"/>
    </xf>
    <xf numFmtId="41" fontId="23" fillId="0" borderId="0" xfId="2" applyFont="1" applyFill="1" applyAlignment="1">
      <alignment horizontal="center" vertical="center"/>
    </xf>
    <xf numFmtId="166" fontId="22" fillId="0" borderId="0" xfId="2" applyNumberFormat="1" applyFont="1" applyFill="1" applyAlignment="1">
      <alignment horizontal="center" vertical="center"/>
    </xf>
    <xf numFmtId="166" fontId="23" fillId="0" borderId="0" xfId="2" applyNumberFormat="1" applyFont="1" applyFill="1" applyAlignment="1">
      <alignment horizontal="center" vertical="center"/>
    </xf>
    <xf numFmtId="0" fontId="22" fillId="0" borderId="0" xfId="11" applyFont="1" applyAlignment="1">
      <alignment horizontal="center" vertical="center"/>
    </xf>
    <xf numFmtId="39" fontId="22" fillId="0" borderId="0" xfId="11" applyNumberFormat="1" applyFont="1" applyAlignment="1">
      <alignment vertical="center"/>
    </xf>
    <xf numFmtId="41" fontId="23" fillId="0" borderId="0" xfId="2" applyFont="1" applyFill="1" applyAlignment="1">
      <alignment vertical="center"/>
    </xf>
    <xf numFmtId="166" fontId="22" fillId="0" borderId="0" xfId="2" applyNumberFormat="1" applyFont="1" applyFill="1" applyAlignment="1">
      <alignment vertical="center"/>
    </xf>
    <xf numFmtId="166" fontId="23" fillId="0" borderId="0" xfId="2" applyNumberFormat="1" applyFont="1" applyFill="1" applyAlignment="1">
      <alignment vertical="center"/>
    </xf>
    <xf numFmtId="43" fontId="22" fillId="0" borderId="0" xfId="27" applyFont="1" applyFill="1" applyAlignment="1">
      <alignment horizontal="center" vertical="center"/>
    </xf>
    <xf numFmtId="0" fontId="22" fillId="0" borderId="51" xfId="11" applyFont="1" applyBorder="1" applyAlignment="1">
      <alignment horizontal="center" vertical="center"/>
    </xf>
    <xf numFmtId="0" fontId="22" fillId="0" borderId="17" xfId="11" applyFont="1" applyBorder="1" applyAlignment="1">
      <alignment vertical="center"/>
    </xf>
    <xf numFmtId="39" fontId="22" fillId="0" borderId="17" xfId="11" applyNumberFormat="1" applyFont="1" applyBorder="1" applyAlignment="1">
      <alignment vertical="center"/>
    </xf>
    <xf numFmtId="39" fontId="22" fillId="0" borderId="55" xfId="11" applyNumberFormat="1" applyFont="1" applyBorder="1" applyAlignment="1">
      <alignment horizontal="center" vertical="center"/>
    </xf>
    <xf numFmtId="39" fontId="22" fillId="0" borderId="55" xfId="11" applyNumberFormat="1" applyFont="1" applyBorder="1" applyAlignment="1">
      <alignment vertical="center"/>
    </xf>
    <xf numFmtId="39" fontId="22" fillId="0" borderId="54" xfId="11" applyNumberFormat="1" applyFont="1" applyBorder="1" applyAlignment="1">
      <alignment horizontal="center" vertical="center"/>
    </xf>
    <xf numFmtId="39" fontId="22" fillId="0" borderId="145" xfId="11" applyNumberFormat="1" applyFont="1" applyBorder="1" applyAlignment="1">
      <alignment horizontal="center" vertical="center"/>
    </xf>
    <xf numFmtId="0" fontId="26" fillId="0" borderId="18" xfId="11" applyFont="1" applyBorder="1" applyAlignment="1">
      <alignment horizontal="center" vertical="center"/>
    </xf>
    <xf numFmtId="0" fontId="26" fillId="0" borderId="0" xfId="11" applyFont="1" applyAlignment="1">
      <alignment horizontal="centerContinuous" vertical="center"/>
    </xf>
    <xf numFmtId="0" fontId="26" fillId="0" borderId="0" xfId="11" applyFont="1" applyAlignment="1">
      <alignment horizontal="left" vertical="center"/>
    </xf>
    <xf numFmtId="0" fontId="26" fillId="0" borderId="39" xfId="11" applyFont="1" applyBorder="1" applyAlignment="1">
      <alignment horizontal="center" vertical="center"/>
    </xf>
    <xf numFmtId="0" fontId="26" fillId="0" borderId="39" xfId="11" applyFont="1" applyBorder="1" applyAlignment="1">
      <alignment horizontal="centerContinuous" vertical="center"/>
    </xf>
    <xf numFmtId="0" fontId="26" fillId="0" borderId="42" xfId="11" applyFont="1" applyBorder="1" applyAlignment="1">
      <alignment horizontal="center" vertical="center"/>
    </xf>
    <xf numFmtId="0" fontId="26" fillId="0" borderId="0" xfId="11" applyFont="1" applyAlignment="1">
      <alignment horizontal="center" vertical="center"/>
    </xf>
    <xf numFmtId="0" fontId="23" fillId="0" borderId="39" xfId="11" applyFont="1" applyBorder="1" applyAlignment="1">
      <alignment horizontal="center" vertical="center"/>
    </xf>
    <xf numFmtId="0" fontId="23" fillId="0" borderId="42" xfId="11" applyFont="1" applyBorder="1" applyAlignment="1">
      <alignment horizontal="center" vertical="center"/>
    </xf>
    <xf numFmtId="0" fontId="23" fillId="0" borderId="19" xfId="11" applyFont="1" applyBorder="1" applyAlignment="1">
      <alignment horizontal="center" vertical="center"/>
    </xf>
    <xf numFmtId="0" fontId="22" fillId="0" borderId="18" xfId="11" applyFont="1" applyBorder="1" applyAlignment="1">
      <alignment horizontal="center" vertical="center"/>
    </xf>
    <xf numFmtId="0" fontId="22" fillId="0" borderId="39" xfId="11" applyFont="1" applyBorder="1" applyAlignment="1">
      <alignment horizontal="center" vertical="center"/>
    </xf>
    <xf numFmtId="0" fontId="22" fillId="0" borderId="39" xfId="11" applyFont="1" applyBorder="1" applyAlignment="1">
      <alignment vertical="center"/>
    </xf>
    <xf numFmtId="0" fontId="22" fillId="0" borderId="42" xfId="11" applyFont="1" applyBorder="1" applyAlignment="1">
      <alignment horizontal="center" vertical="center"/>
    </xf>
    <xf numFmtId="0" fontId="22" fillId="0" borderId="39" xfId="11" applyFont="1" applyBorder="1" applyAlignment="1">
      <alignment horizontal="centerContinuous" vertical="center"/>
    </xf>
    <xf numFmtId="0" fontId="22" fillId="0" borderId="19" xfId="11" applyFont="1" applyBorder="1" applyAlignment="1">
      <alignment horizontal="center" vertical="center"/>
    </xf>
    <xf numFmtId="0" fontId="22" fillId="0" borderId="146" xfId="11" quotePrefix="1" applyFont="1" applyBorder="1" applyAlignment="1">
      <alignment horizontal="center" vertical="center"/>
    </xf>
    <xf numFmtId="0" fontId="22" fillId="0" borderId="147" xfId="11" applyFont="1" applyBorder="1" applyAlignment="1">
      <alignment horizontal="centerContinuous" vertical="center"/>
    </xf>
    <xf numFmtId="0" fontId="22" fillId="0" borderId="150" xfId="11" applyFont="1" applyBorder="1" applyAlignment="1">
      <alignment horizontal="right" vertical="center"/>
    </xf>
    <xf numFmtId="0" fontId="22" fillId="0" borderId="149" xfId="11" applyFont="1" applyBorder="1" applyAlignment="1">
      <alignment horizontal="centerContinuous" vertical="center"/>
    </xf>
    <xf numFmtId="0" fontId="22" fillId="0" borderId="150" xfId="11" applyFont="1" applyBorder="1" applyAlignment="1">
      <alignment horizontal="center" vertical="center"/>
    </xf>
    <xf numFmtId="0" fontId="22" fillId="0" borderId="149" xfId="11" applyFont="1" applyBorder="1" applyAlignment="1">
      <alignment horizontal="center" vertical="center"/>
    </xf>
    <xf numFmtId="0" fontId="22" fillId="0" borderId="150" xfId="11" applyFont="1" applyBorder="1" applyAlignment="1">
      <alignment horizontal="centerContinuous" vertical="center"/>
    </xf>
    <xf numFmtId="0" fontId="22" fillId="0" borderId="151" xfId="11" applyFont="1" applyBorder="1" applyAlignment="1">
      <alignment horizontal="center" vertical="center"/>
    </xf>
    <xf numFmtId="0" fontId="22" fillId="0" borderId="161" xfId="11" applyFont="1" applyBorder="1" applyAlignment="1">
      <alignment horizontal="centerContinuous" vertical="center"/>
    </xf>
    <xf numFmtId="39" fontId="22" fillId="0" borderId="162" xfId="11" applyNumberFormat="1" applyFont="1" applyBorder="1" applyAlignment="1">
      <alignment horizontal="right" vertical="center"/>
    </xf>
    <xf numFmtId="0" fontId="22" fillId="0" borderId="163" xfId="11" applyFont="1" applyBorder="1" applyAlignment="1">
      <alignment horizontal="center" vertical="center"/>
    </xf>
    <xf numFmtId="0" fontId="22" fillId="0" borderId="162" xfId="11" applyFont="1" applyBorder="1" applyAlignment="1">
      <alignment horizontal="center" vertical="center"/>
    </xf>
    <xf numFmtId="0" fontId="22" fillId="0" borderId="161" xfId="11" applyFont="1" applyBorder="1" applyAlignment="1">
      <alignment vertical="center"/>
    </xf>
    <xf numFmtId="39" fontId="22" fillId="0" borderId="162" xfId="11" applyNumberFormat="1" applyFont="1" applyBorder="1" applyAlignment="1">
      <alignment horizontal="center" vertical="center"/>
    </xf>
    <xf numFmtId="39" fontId="22" fillId="0" borderId="162" xfId="11" applyNumberFormat="1" applyFont="1" applyBorder="1" applyAlignment="1">
      <alignment vertical="center"/>
    </xf>
    <xf numFmtId="43" fontId="22" fillId="0" borderId="163" xfId="11" applyNumberFormat="1" applyFont="1" applyBorder="1" applyAlignment="1">
      <alignment horizontal="center" vertical="center"/>
    </xf>
    <xf numFmtId="0" fontId="22" fillId="0" borderId="164" xfId="11" applyFont="1" applyBorder="1" applyAlignment="1">
      <alignment horizontal="center" vertical="center"/>
    </xf>
    <xf numFmtId="0" fontId="22" fillId="0" borderId="165" xfId="11" applyFont="1" applyBorder="1" applyAlignment="1">
      <alignment horizontal="center" vertical="center"/>
    </xf>
    <xf numFmtId="0" fontId="22" fillId="0" borderId="166" xfId="11" applyFont="1" applyBorder="1" applyAlignment="1">
      <alignment vertical="center"/>
    </xf>
    <xf numFmtId="39" fontId="22" fillId="0" borderId="166" xfId="11" applyNumberFormat="1" applyFont="1" applyBorder="1" applyAlignment="1">
      <alignment vertical="center"/>
    </xf>
    <xf numFmtId="0" fontId="22" fillId="0" borderId="166" xfId="11" applyFont="1" applyBorder="1" applyAlignment="1">
      <alignment horizontal="centerContinuous" vertical="center"/>
    </xf>
    <xf numFmtId="166" fontId="22" fillId="0" borderId="167" xfId="2" applyNumberFormat="1" applyFont="1" applyFill="1" applyBorder="1" applyAlignment="1" applyProtection="1">
      <alignment horizontal="right" vertical="center"/>
    </xf>
    <xf numFmtId="39" fontId="22" fillId="0" borderId="168" xfId="11" applyNumberFormat="1" applyFont="1" applyBorder="1" applyAlignment="1">
      <alignment horizontal="center" vertical="center"/>
    </xf>
    <xf numFmtId="39" fontId="22" fillId="0" borderId="167" xfId="11" applyNumberFormat="1" applyFont="1" applyBorder="1" applyAlignment="1">
      <alignment horizontal="center" vertical="center"/>
    </xf>
    <xf numFmtId="166" fontId="22" fillId="0" borderId="166" xfId="2" applyNumberFormat="1" applyFont="1" applyFill="1" applyBorder="1" applyAlignment="1" applyProtection="1">
      <alignment vertical="center"/>
    </xf>
    <xf numFmtId="166" fontId="22" fillId="0" borderId="167" xfId="2" applyNumberFormat="1" applyFont="1" applyFill="1" applyBorder="1" applyAlignment="1" applyProtection="1">
      <alignment vertical="center"/>
    </xf>
    <xf numFmtId="39" fontId="22" fillId="0" borderId="167" xfId="11" applyNumberFormat="1" applyFont="1" applyBorder="1" applyAlignment="1">
      <alignment vertical="center"/>
    </xf>
    <xf numFmtId="9" fontId="22" fillId="0" borderId="167" xfId="21" applyFont="1" applyFill="1" applyBorder="1" applyAlignment="1" applyProtection="1">
      <alignment vertical="center"/>
    </xf>
    <xf numFmtId="166" fontId="22" fillId="0" borderId="169" xfId="2" applyNumberFormat="1" applyFont="1" applyFill="1" applyBorder="1" applyAlignment="1" applyProtection="1">
      <alignment vertical="center"/>
    </xf>
    <xf numFmtId="166" fontId="22" fillId="0" borderId="170" xfId="2" applyNumberFormat="1" applyFont="1" applyFill="1" applyBorder="1" applyAlignment="1">
      <alignment horizontal="center" vertical="center"/>
    </xf>
    <xf numFmtId="43" fontId="22" fillId="0" borderId="0" xfId="11" applyNumberFormat="1" applyFont="1" applyAlignment="1">
      <alignment vertical="center"/>
    </xf>
    <xf numFmtId="0" fontId="22" fillId="0" borderId="176" xfId="11" applyFont="1" applyBorder="1" applyAlignment="1">
      <alignment horizontal="center" vertical="center"/>
    </xf>
    <xf numFmtId="0" fontId="22" fillId="0" borderId="177" xfId="11" applyFont="1" applyBorder="1" applyAlignment="1">
      <alignment vertical="center"/>
    </xf>
    <xf numFmtId="39" fontId="22" fillId="0" borderId="177" xfId="11" applyNumberFormat="1" applyFont="1" applyBorder="1" applyAlignment="1">
      <alignment vertical="center"/>
    </xf>
    <xf numFmtId="166" fontId="22" fillId="0" borderId="178" xfId="2" applyNumberFormat="1" applyFont="1" applyFill="1" applyBorder="1" applyAlignment="1" applyProtection="1">
      <alignment horizontal="right" vertical="center"/>
    </xf>
    <xf numFmtId="39" fontId="22" fillId="0" borderId="179" xfId="11" applyNumberFormat="1" applyFont="1" applyBorder="1" applyAlignment="1">
      <alignment horizontal="center" vertical="center"/>
    </xf>
    <xf numFmtId="39" fontId="22" fillId="0" borderId="178" xfId="11" applyNumberFormat="1" applyFont="1" applyBorder="1" applyAlignment="1">
      <alignment horizontal="center" vertical="center"/>
    </xf>
    <xf numFmtId="166" fontId="22" fillId="0" borderId="177" xfId="2" applyNumberFormat="1" applyFont="1" applyFill="1" applyBorder="1" applyAlignment="1" applyProtection="1">
      <alignment vertical="center"/>
    </xf>
    <xf numFmtId="166" fontId="22" fillId="0" borderId="178" xfId="2" applyNumberFormat="1" applyFont="1" applyFill="1" applyBorder="1" applyAlignment="1" applyProtection="1">
      <alignment vertical="center"/>
    </xf>
    <xf numFmtId="39" fontId="22" fillId="0" borderId="178" xfId="11" applyNumberFormat="1" applyFont="1" applyBorder="1" applyAlignment="1">
      <alignment vertical="center"/>
    </xf>
    <xf numFmtId="9" fontId="22" fillId="0" borderId="178" xfId="21" applyFont="1" applyFill="1" applyBorder="1" applyAlignment="1" applyProtection="1">
      <alignment vertical="center"/>
    </xf>
    <xf numFmtId="166" fontId="22" fillId="0" borderId="180" xfId="2" applyNumberFormat="1" applyFont="1" applyFill="1" applyBorder="1" applyAlignment="1" applyProtection="1">
      <alignment vertical="center"/>
    </xf>
    <xf numFmtId="166" fontId="22" fillId="0" borderId="181" xfId="2" applyNumberFormat="1" applyFont="1" applyFill="1" applyBorder="1" applyAlignment="1">
      <alignment horizontal="center" vertical="center"/>
    </xf>
    <xf numFmtId="0" fontId="22" fillId="0" borderId="182" xfId="11" applyFont="1" applyBorder="1" applyAlignment="1">
      <alignment horizontal="center" vertical="center"/>
    </xf>
    <xf numFmtId="0" fontId="22" fillId="0" borderId="183" xfId="11" applyFont="1" applyBorder="1" applyAlignment="1">
      <alignment vertical="center"/>
    </xf>
    <xf numFmtId="0" fontId="22" fillId="0" borderId="184" xfId="11" applyFont="1" applyBorder="1" applyAlignment="1">
      <alignment vertical="center"/>
    </xf>
    <xf numFmtId="39" fontId="22" fillId="0" borderId="184" xfId="11" applyNumberFormat="1" applyFont="1" applyBorder="1" applyAlignment="1">
      <alignment vertical="center"/>
    </xf>
    <xf numFmtId="166" fontId="22" fillId="0" borderId="185" xfId="2" applyNumberFormat="1" applyFont="1" applyFill="1" applyBorder="1" applyAlignment="1" applyProtection="1">
      <alignment horizontal="right" vertical="center"/>
    </xf>
    <xf numFmtId="0" fontId="22" fillId="0" borderId="183" xfId="11" applyFont="1" applyBorder="1" applyAlignment="1">
      <alignment horizontal="center" vertical="center"/>
    </xf>
    <xf numFmtId="0" fontId="22" fillId="0" borderId="185" xfId="11" applyFont="1" applyBorder="1" applyAlignment="1">
      <alignment horizontal="center" vertical="center"/>
    </xf>
    <xf numFmtId="166" fontId="22" fillId="0" borderId="184" xfId="2" applyNumberFormat="1" applyFont="1" applyFill="1" applyBorder="1" applyAlignment="1" applyProtection="1">
      <alignment vertical="center"/>
    </xf>
    <xf numFmtId="166" fontId="23" fillId="0" borderId="185" xfId="2" applyNumberFormat="1" applyFont="1" applyFill="1" applyBorder="1" applyAlignment="1" applyProtection="1">
      <alignment horizontal="right" vertical="center"/>
    </xf>
    <xf numFmtId="166" fontId="23" fillId="0" borderId="185" xfId="2" applyNumberFormat="1" applyFont="1" applyFill="1" applyBorder="1" applyAlignment="1" applyProtection="1">
      <alignment vertical="center"/>
    </xf>
    <xf numFmtId="9" fontId="23" fillId="0" borderId="185" xfId="21" applyFont="1" applyFill="1" applyBorder="1" applyAlignment="1">
      <alignment horizontal="right" vertical="center"/>
    </xf>
    <xf numFmtId="166" fontId="23" fillId="0" borderId="183" xfId="11" applyNumberFormat="1" applyFont="1" applyBorder="1" applyAlignment="1">
      <alignment horizontal="center" vertical="center"/>
    </xf>
    <xf numFmtId="166" fontId="23" fillId="0" borderId="186" xfId="11" applyNumberFormat="1" applyFont="1" applyBorder="1" applyAlignment="1">
      <alignment horizontal="center" vertical="center"/>
    </xf>
    <xf numFmtId="0" fontId="23" fillId="0" borderId="171" xfId="11" applyFont="1" applyBorder="1" applyAlignment="1">
      <alignment horizontal="center" vertical="center"/>
    </xf>
    <xf numFmtId="0" fontId="23" fillId="0" borderId="172" xfId="11" applyFont="1" applyBorder="1" applyAlignment="1">
      <alignment horizontal="centerContinuous" vertical="center"/>
    </xf>
    <xf numFmtId="0" fontId="23" fillId="0" borderId="172" xfId="11" applyFont="1" applyBorder="1" applyAlignment="1">
      <alignment vertical="center"/>
    </xf>
    <xf numFmtId="0" fontId="22" fillId="0" borderId="172" xfId="11" applyFont="1" applyBorder="1" applyAlignment="1">
      <alignment horizontal="centerContinuous" vertical="center"/>
    </xf>
    <xf numFmtId="166" fontId="22" fillId="0" borderId="173" xfId="2" applyNumberFormat="1" applyFont="1" applyFill="1" applyBorder="1" applyAlignment="1" applyProtection="1">
      <alignment horizontal="right" vertical="center"/>
    </xf>
    <xf numFmtId="0" fontId="22" fillId="0" borderId="174" xfId="11" applyFont="1" applyBorder="1" applyAlignment="1">
      <alignment horizontal="center" vertical="center"/>
    </xf>
    <xf numFmtId="0" fontId="22" fillId="0" borderId="173" xfId="11" applyFont="1" applyBorder="1" applyAlignment="1">
      <alignment horizontal="center" vertical="center"/>
    </xf>
    <xf numFmtId="166" fontId="22" fillId="0" borderId="172" xfId="2" applyNumberFormat="1" applyFont="1" applyFill="1" applyBorder="1" applyAlignment="1" applyProtection="1">
      <alignment vertical="center"/>
    </xf>
    <xf numFmtId="166" fontId="22" fillId="0" borderId="173" xfId="2" applyNumberFormat="1" applyFont="1" applyFill="1" applyBorder="1" applyAlignment="1" applyProtection="1">
      <alignment horizontal="center" vertical="center"/>
    </xf>
    <xf numFmtId="166" fontId="22" fillId="0" borderId="173" xfId="2" applyNumberFormat="1" applyFont="1" applyFill="1" applyBorder="1" applyAlignment="1" applyProtection="1">
      <alignment vertical="center"/>
    </xf>
    <xf numFmtId="0" fontId="22" fillId="0" borderId="175" xfId="11" applyFont="1" applyBorder="1" applyAlignment="1">
      <alignment horizontal="center" vertical="center"/>
    </xf>
    <xf numFmtId="0" fontId="23" fillId="0" borderId="165" xfId="11" applyFont="1" applyBorder="1" applyAlignment="1">
      <alignment horizontal="center" vertical="center"/>
    </xf>
    <xf numFmtId="0" fontId="23" fillId="0" borderId="166" xfId="11" applyFont="1" applyBorder="1" applyAlignment="1">
      <alignment horizontal="centerContinuous" vertical="center"/>
    </xf>
    <xf numFmtId="0" fontId="23" fillId="0" borderId="166" xfId="11" applyFont="1" applyBorder="1" applyAlignment="1">
      <alignment vertical="center"/>
    </xf>
    <xf numFmtId="0" fontId="22" fillId="0" borderId="168" xfId="11" applyFont="1" applyBorder="1" applyAlignment="1">
      <alignment horizontal="center" vertical="center"/>
    </xf>
    <xf numFmtId="0" fontId="22" fillId="0" borderId="167" xfId="11" applyFont="1" applyBorder="1" applyAlignment="1">
      <alignment horizontal="center" vertical="center"/>
    </xf>
    <xf numFmtId="166" fontId="22" fillId="0" borderId="167" xfId="2" applyNumberFormat="1" applyFont="1" applyFill="1" applyBorder="1" applyAlignment="1" applyProtection="1">
      <alignment horizontal="center" vertical="center"/>
    </xf>
    <xf numFmtId="0" fontId="22" fillId="0" borderId="170" xfId="11" applyFont="1" applyBorder="1" applyAlignment="1">
      <alignment horizontal="center" vertical="center"/>
    </xf>
    <xf numFmtId="0" fontId="22" fillId="0" borderId="166" xfId="11" applyFont="1" applyBorder="1" applyAlignment="1">
      <alignment horizontal="left" vertical="center"/>
    </xf>
    <xf numFmtId="39" fontId="23" fillId="0" borderId="166" xfId="11" applyNumberFormat="1" applyFont="1" applyBorder="1" applyAlignment="1">
      <alignment vertical="center"/>
    </xf>
    <xf numFmtId="174" fontId="22" fillId="0" borderId="0" xfId="1" applyNumberFormat="1" applyFont="1" applyFill="1" applyAlignment="1">
      <alignment vertical="center"/>
    </xf>
    <xf numFmtId="39" fontId="22" fillId="0" borderId="166" xfId="11" applyNumberFormat="1" applyFont="1" applyBorder="1" applyAlignment="1">
      <alignment horizontal="left" vertical="center"/>
    </xf>
    <xf numFmtId="166" fontId="22" fillId="0" borderId="0" xfId="11" applyNumberFormat="1" applyFont="1" applyAlignment="1">
      <alignment vertical="center"/>
    </xf>
    <xf numFmtId="43" fontId="22" fillId="0" borderId="0" xfId="1" applyFont="1" applyFill="1" applyAlignment="1">
      <alignment vertical="center"/>
    </xf>
    <xf numFmtId="0" fontId="22" fillId="0" borderId="0" xfId="30" applyFont="1" applyAlignment="1">
      <alignment vertical="center"/>
    </xf>
    <xf numFmtId="166" fontId="22" fillId="0" borderId="0" xfId="31" applyNumberFormat="1" applyFont="1" applyFill="1" applyAlignment="1">
      <alignment vertical="center"/>
    </xf>
    <xf numFmtId="166" fontId="23" fillId="0" borderId="155" xfId="2" applyNumberFormat="1" applyFont="1" applyFill="1" applyBorder="1" applyAlignment="1" applyProtection="1">
      <alignment horizontal="right" vertical="center"/>
    </xf>
    <xf numFmtId="166" fontId="23" fillId="0" borderId="155" xfId="2" applyNumberFormat="1" applyFont="1" applyFill="1" applyBorder="1" applyAlignment="1" applyProtection="1">
      <alignment vertical="center"/>
    </xf>
    <xf numFmtId="0" fontId="22" fillId="0" borderId="157" xfId="30" applyFont="1" applyBorder="1" applyAlignment="1">
      <alignment horizontal="center" vertical="center"/>
    </xf>
    <xf numFmtId="0" fontId="22" fillId="0" borderId="41" xfId="30" applyFont="1" applyBorder="1" applyAlignment="1">
      <alignment vertical="center"/>
    </xf>
    <xf numFmtId="39" fontId="22" fillId="0" borderId="0" xfId="30" applyNumberFormat="1" applyFont="1" applyAlignment="1">
      <alignment vertical="center"/>
    </xf>
    <xf numFmtId="166" fontId="22" fillId="0" borderId="39" xfId="31" applyNumberFormat="1" applyFont="1" applyFill="1" applyBorder="1" applyAlignment="1" applyProtection="1">
      <alignment horizontal="right" vertical="center"/>
    </xf>
    <xf numFmtId="39" fontId="22" fillId="0" borderId="159" xfId="30" applyNumberFormat="1" applyFont="1" applyBorder="1" applyAlignment="1">
      <alignment horizontal="center" vertical="center"/>
    </xf>
    <xf numFmtId="166" fontId="23" fillId="0" borderId="0" xfId="31" quotePrefix="1" applyNumberFormat="1" applyFont="1" applyFill="1" applyBorder="1" applyAlignment="1" applyProtection="1">
      <alignment horizontal="right" vertical="center"/>
    </xf>
    <xf numFmtId="166" fontId="23" fillId="0" borderId="158" xfId="31" quotePrefix="1" applyNumberFormat="1" applyFont="1" applyFill="1" applyBorder="1" applyAlignment="1" applyProtection="1">
      <alignment horizontal="right" vertical="center"/>
    </xf>
    <xf numFmtId="166" fontId="23" fillId="0" borderId="39" xfId="31" quotePrefix="1" applyNumberFormat="1" applyFont="1" applyFill="1" applyBorder="1" applyAlignment="1" applyProtection="1">
      <alignment horizontal="right" vertical="center"/>
    </xf>
    <xf numFmtId="166" fontId="23" fillId="0" borderId="39" xfId="31" applyNumberFormat="1" applyFont="1" applyFill="1" applyBorder="1" applyAlignment="1" applyProtection="1">
      <alignment vertical="center"/>
    </xf>
    <xf numFmtId="10" fontId="23" fillId="0" borderId="39" xfId="21" applyNumberFormat="1" applyFont="1" applyFill="1" applyBorder="1" applyAlignment="1" applyProtection="1">
      <alignment vertical="center"/>
    </xf>
    <xf numFmtId="43" fontId="23" fillId="0" borderId="38" xfId="31" applyNumberFormat="1" applyFont="1" applyFill="1" applyBorder="1" applyAlignment="1" applyProtection="1">
      <alignment vertical="center"/>
    </xf>
    <xf numFmtId="166" fontId="23" fillId="0" borderId="57" xfId="31" applyNumberFormat="1" applyFont="1" applyFill="1" applyBorder="1" applyAlignment="1" applyProtection="1">
      <alignment vertical="center"/>
    </xf>
    <xf numFmtId="166" fontId="23" fillId="0" borderId="0" xfId="31" applyNumberFormat="1" applyFont="1" applyFill="1" applyAlignment="1">
      <alignment vertical="center"/>
    </xf>
    <xf numFmtId="0" fontId="22" fillId="0" borderId="152" xfId="30" applyFont="1" applyBorder="1" applyAlignment="1">
      <alignment horizontal="center" vertical="center"/>
    </xf>
    <xf numFmtId="0" fontId="22" fillId="0" borderId="153" xfId="30" applyFont="1" applyBorder="1" applyAlignment="1">
      <alignment vertical="center"/>
    </xf>
    <xf numFmtId="39" fontId="22" fillId="0" borderId="154" xfId="30" applyNumberFormat="1" applyFont="1" applyBorder="1" applyAlignment="1">
      <alignment vertical="center"/>
    </xf>
    <xf numFmtId="166" fontId="22" fillId="0" borderId="155" xfId="31" applyNumberFormat="1" applyFont="1" applyFill="1" applyBorder="1" applyAlignment="1" applyProtection="1">
      <alignment horizontal="right" vertical="center"/>
    </xf>
    <xf numFmtId="39" fontId="22" fillId="0" borderId="155" xfId="30" applyNumberFormat="1" applyFont="1" applyBorder="1" applyAlignment="1">
      <alignment horizontal="center" vertical="center"/>
    </xf>
    <xf numFmtId="166" fontId="23" fillId="0" borderId="155" xfId="31" quotePrefix="1" applyNumberFormat="1" applyFont="1" applyFill="1" applyBorder="1" applyAlignment="1" applyProtection="1">
      <alignment horizontal="right" vertical="center"/>
    </xf>
    <xf numFmtId="166" fontId="23" fillId="0" borderId="153" xfId="31" quotePrefix="1" applyNumberFormat="1" applyFont="1" applyFill="1" applyBorder="1" applyAlignment="1" applyProtection="1">
      <alignment horizontal="right" vertical="center"/>
    </xf>
    <xf numFmtId="166" fontId="23" fillId="0" borderId="155" xfId="31" applyNumberFormat="1" applyFont="1" applyFill="1" applyBorder="1" applyAlignment="1" applyProtection="1">
      <alignment vertical="center"/>
    </xf>
    <xf numFmtId="166" fontId="23" fillId="0" borderId="156" xfId="31" applyNumberFormat="1" applyFont="1" applyFill="1" applyBorder="1" applyAlignment="1" applyProtection="1">
      <alignment vertical="center"/>
    </xf>
    <xf numFmtId="0" fontId="22" fillId="0" borderId="146" xfId="30" applyFont="1" applyBorder="1" applyAlignment="1">
      <alignment horizontal="center" vertical="center"/>
    </xf>
    <xf numFmtId="0" fontId="22" fillId="0" borderId="149" xfId="30" applyFont="1" applyBorder="1" applyAlignment="1">
      <alignment vertical="center"/>
    </xf>
    <xf numFmtId="39" fontId="22" fillId="0" borderId="147" xfId="30" applyNumberFormat="1" applyFont="1" applyBorder="1" applyAlignment="1">
      <alignment vertical="center"/>
    </xf>
    <xf numFmtId="166" fontId="22" fillId="0" borderId="150" xfId="31" applyNumberFormat="1" applyFont="1" applyFill="1" applyBorder="1" applyAlignment="1" applyProtection="1">
      <alignment horizontal="right" vertical="center"/>
    </xf>
    <xf numFmtId="39" fontId="22" fillId="0" borderId="150" xfId="30" applyNumberFormat="1" applyFont="1" applyBorder="1" applyAlignment="1">
      <alignment horizontal="center" vertical="center"/>
    </xf>
    <xf numFmtId="166" fontId="23" fillId="0" borderId="150" xfId="31" quotePrefix="1" applyNumberFormat="1" applyFont="1" applyFill="1" applyBorder="1" applyAlignment="1" applyProtection="1">
      <alignment horizontal="right" vertical="center"/>
    </xf>
    <xf numFmtId="166" fontId="23" fillId="0" borderId="149" xfId="31" quotePrefix="1" applyNumberFormat="1" applyFont="1" applyFill="1" applyBorder="1" applyAlignment="1" applyProtection="1">
      <alignment horizontal="right" vertical="center"/>
    </xf>
    <xf numFmtId="166" fontId="23" fillId="0" borderId="150" xfId="2" applyNumberFormat="1" applyFont="1" applyFill="1" applyBorder="1" applyAlignment="1" applyProtection="1">
      <alignment horizontal="right" vertical="center"/>
    </xf>
    <xf numFmtId="166" fontId="23" fillId="0" borderId="150" xfId="31" applyNumberFormat="1" applyFont="1" applyFill="1" applyBorder="1" applyAlignment="1" applyProtection="1">
      <alignment vertical="center"/>
    </xf>
    <xf numFmtId="166" fontId="23" fillId="0" borderId="151" xfId="31" applyNumberFormat="1" applyFont="1" applyFill="1" applyBorder="1" applyAlignment="1" applyProtection="1">
      <alignment vertical="center"/>
    </xf>
    <xf numFmtId="39" fontId="22" fillId="0" borderId="0" xfId="11" applyNumberFormat="1" applyFont="1" applyAlignment="1">
      <alignment horizontal="center" vertical="center"/>
    </xf>
    <xf numFmtId="43" fontId="27" fillId="0" borderId="0" xfId="1" applyFont="1" applyFill="1" applyAlignment="1">
      <alignment vertical="center"/>
    </xf>
    <xf numFmtId="0" fontId="28" fillId="0" borderId="0" xfId="0" applyFont="1"/>
    <xf numFmtId="0" fontId="28" fillId="0" borderId="0" xfId="0" applyFont="1" applyAlignment="1">
      <alignment horizontal="left"/>
    </xf>
    <xf numFmtId="0" fontId="28" fillId="0" borderId="0" xfId="0" applyFont="1" applyAlignment="1">
      <alignment horizontal="right"/>
    </xf>
    <xf numFmtId="166" fontId="28" fillId="0" borderId="0" xfId="44" applyNumberFormat="1" applyFont="1" applyFill="1"/>
    <xf numFmtId="43" fontId="28" fillId="0" borderId="0" xfId="45" applyFont="1" applyFill="1"/>
    <xf numFmtId="43" fontId="29" fillId="0" borderId="0" xfId="45" applyFont="1" applyFill="1"/>
    <xf numFmtId="0" fontId="29" fillId="0" borderId="0" xfId="0" applyFont="1"/>
    <xf numFmtId="0" fontId="31" fillId="0" borderId="0" xfId="11" applyFont="1" applyAlignment="1">
      <alignment horizontal="centerContinuous" vertical="center"/>
    </xf>
    <xf numFmtId="0" fontId="31" fillId="0" borderId="0" xfId="11" applyFont="1" applyAlignment="1">
      <alignment vertical="center"/>
    </xf>
    <xf numFmtId="43" fontId="31" fillId="0" borderId="0" xfId="45" applyFont="1" applyFill="1" applyAlignment="1">
      <alignment vertical="center"/>
    </xf>
    <xf numFmtId="43" fontId="32" fillId="0" borderId="0" xfId="45" applyFont="1" applyFill="1" applyAlignment="1">
      <alignment vertical="center"/>
    </xf>
    <xf numFmtId="0" fontId="32" fillId="0" borderId="0" xfId="11" applyFont="1" applyAlignment="1">
      <alignment vertical="center"/>
    </xf>
    <xf numFmtId="0" fontId="31" fillId="0" borderId="0" xfId="11" applyFont="1" applyAlignment="1">
      <alignment horizontal="center" vertical="center"/>
    </xf>
    <xf numFmtId="0" fontId="32" fillId="0" borderId="0" xfId="11" applyFont="1" applyAlignment="1">
      <alignment horizontal="left" vertical="center"/>
    </xf>
    <xf numFmtId="0" fontId="32" fillId="0" borderId="0" xfId="11" applyFont="1" applyAlignment="1">
      <alignment horizontal="center" vertical="center"/>
    </xf>
    <xf numFmtId="41" fontId="32" fillId="0" borderId="0" xfId="11" applyNumberFormat="1" applyFont="1" applyAlignment="1">
      <alignment horizontal="left" vertical="center"/>
    </xf>
    <xf numFmtId="41" fontId="31" fillId="0" borderId="0" xfId="44" applyFont="1" applyFill="1" applyAlignment="1" applyProtection="1">
      <alignment horizontal="left" vertical="center"/>
    </xf>
    <xf numFmtId="166" fontId="31" fillId="0" borderId="0" xfId="44" applyNumberFormat="1" applyFont="1" applyFill="1" applyAlignment="1">
      <alignment vertical="center"/>
    </xf>
    <xf numFmtId="0" fontId="28" fillId="0" borderId="194" xfId="13" applyFont="1" applyBorder="1" applyAlignment="1">
      <alignment horizontal="center" vertical="center"/>
    </xf>
    <xf numFmtId="0" fontId="29" fillId="0" borderId="195" xfId="13" applyFont="1" applyBorder="1" applyAlignment="1">
      <alignment horizontal="center" vertical="center"/>
    </xf>
    <xf numFmtId="0" fontId="29" fillId="0" borderId="196" xfId="13" applyFont="1" applyBorder="1" applyAlignment="1">
      <alignment horizontal="center" vertical="center"/>
    </xf>
    <xf numFmtId="166" fontId="29" fillId="0" borderId="196" xfId="44" applyNumberFormat="1" applyFont="1" applyFill="1" applyBorder="1" applyAlignment="1">
      <alignment horizontal="center" vertical="center"/>
    </xf>
    <xf numFmtId="43" fontId="29" fillId="0" borderId="197" xfId="45" applyFont="1" applyFill="1" applyBorder="1" applyAlignment="1">
      <alignment horizontal="center" vertical="center"/>
    </xf>
    <xf numFmtId="43" fontId="29" fillId="0" borderId="198" xfId="45" applyFont="1" applyFill="1" applyBorder="1" applyAlignment="1">
      <alignment horizontal="center" vertical="center" wrapText="1"/>
    </xf>
    <xf numFmtId="0" fontId="29" fillId="0" borderId="199" xfId="13" applyFont="1" applyBorder="1" applyAlignment="1">
      <alignment horizontal="center" vertical="center"/>
    </xf>
    <xf numFmtId="0" fontId="28" fillId="0" borderId="200" xfId="11" applyFont="1" applyBorder="1" applyAlignment="1">
      <alignment horizontal="center" vertical="center"/>
    </xf>
    <xf numFmtId="0" fontId="28" fillId="0" borderId="201" xfId="11" applyFont="1" applyBorder="1" applyAlignment="1">
      <alignment horizontal="left" vertical="center"/>
    </xf>
    <xf numFmtId="39" fontId="28" fillId="0" borderId="202" xfId="11" applyNumberFormat="1" applyFont="1" applyBorder="1" applyAlignment="1">
      <alignment vertical="center"/>
    </xf>
    <xf numFmtId="0" fontId="28" fillId="0" borderId="201" xfId="13" applyFont="1" applyBorder="1"/>
    <xf numFmtId="0" fontId="28" fillId="0" borderId="201" xfId="13" applyFont="1" applyBorder="1" applyAlignment="1">
      <alignment horizontal="right"/>
    </xf>
    <xf numFmtId="0" fontId="28" fillId="0" borderId="203" xfId="13" applyFont="1" applyBorder="1" applyAlignment="1">
      <alignment horizontal="center" vertical="center"/>
    </xf>
    <xf numFmtId="0" fontId="28" fillId="0" borderId="201" xfId="13" applyFont="1" applyBorder="1" applyAlignment="1">
      <alignment horizontal="center" vertical="center"/>
    </xf>
    <xf numFmtId="166" fontId="28" fillId="0" borderId="201" xfId="44" applyNumberFormat="1" applyFont="1" applyFill="1" applyBorder="1" applyAlignment="1">
      <alignment horizontal="center" vertical="center"/>
    </xf>
    <xf numFmtId="43" fontId="28" fillId="0" borderId="204" xfId="45" applyFont="1" applyFill="1" applyBorder="1" applyAlignment="1">
      <alignment horizontal="center" vertical="center"/>
    </xf>
    <xf numFmtId="43" fontId="29" fillId="0" borderId="205" xfId="45" applyFont="1" applyFill="1" applyBorder="1" applyAlignment="1">
      <alignment horizontal="center" vertical="center"/>
    </xf>
    <xf numFmtId="0" fontId="28" fillId="0" borderId="206" xfId="13" applyFont="1" applyBorder="1" applyAlignment="1">
      <alignment horizontal="center" vertical="center"/>
    </xf>
    <xf numFmtId="37" fontId="29" fillId="0" borderId="200" xfId="11" applyNumberFormat="1" applyFont="1" applyBorder="1" applyAlignment="1">
      <alignment horizontal="center" vertical="center"/>
    </xf>
    <xf numFmtId="39" fontId="29" fillId="0" borderId="201" xfId="11" applyNumberFormat="1" applyFont="1" applyBorder="1" applyAlignment="1">
      <alignment horizontal="left" vertical="center"/>
    </xf>
    <xf numFmtId="39" fontId="29" fillId="0" borderId="202" xfId="11" applyNumberFormat="1" applyFont="1" applyBorder="1" applyAlignment="1">
      <alignment vertical="center"/>
    </xf>
    <xf numFmtId="37" fontId="28" fillId="0" borderId="200" xfId="11" applyNumberFormat="1" applyFont="1" applyBorder="1" applyAlignment="1">
      <alignment horizontal="center" vertical="center"/>
    </xf>
    <xf numFmtId="39" fontId="28" fillId="0" borderId="201" xfId="11" applyNumberFormat="1" applyFont="1" applyBorder="1" applyAlignment="1">
      <alignment horizontal="left" vertical="center"/>
    </xf>
    <xf numFmtId="166" fontId="28" fillId="0" borderId="203" xfId="2" applyNumberFormat="1" applyFont="1" applyFill="1" applyBorder="1" applyAlignment="1">
      <alignment horizontal="center" vertical="center"/>
    </xf>
    <xf numFmtId="0" fontId="29" fillId="0" borderId="206" xfId="13" applyFont="1" applyBorder="1" applyAlignment="1">
      <alignment horizontal="center" vertical="center"/>
    </xf>
    <xf numFmtId="166" fontId="28" fillId="0" borderId="203" xfId="44" applyNumberFormat="1" applyFont="1" applyFill="1" applyBorder="1" applyAlignment="1">
      <alignment horizontal="center" vertical="center"/>
    </xf>
    <xf numFmtId="43" fontId="29" fillId="0" borderId="206" xfId="13" applyNumberFormat="1" applyFont="1" applyBorder="1" applyAlignment="1">
      <alignment horizontal="center" vertical="center"/>
    </xf>
    <xf numFmtId="41" fontId="0" fillId="0" borderId="0" xfId="2" applyFont="1"/>
    <xf numFmtId="41" fontId="0" fillId="0" borderId="0" xfId="0" applyNumberFormat="1"/>
    <xf numFmtId="43" fontId="28" fillId="0" borderId="203" xfId="13" applyNumberFormat="1" applyFont="1" applyBorder="1" applyAlignment="1">
      <alignment horizontal="center" vertical="center"/>
    </xf>
    <xf numFmtId="174" fontId="0" fillId="0" borderId="0" xfId="0" applyNumberFormat="1"/>
    <xf numFmtId="0" fontId="33" fillId="0" borderId="0" xfId="0" applyFont="1"/>
    <xf numFmtId="174" fontId="34" fillId="0" borderId="0" xfId="45" applyNumberFormat="1" applyFont="1" applyFill="1"/>
    <xf numFmtId="166" fontId="34" fillId="0" borderId="0" xfId="4" applyNumberFormat="1" applyFont="1" applyFill="1"/>
    <xf numFmtId="175" fontId="34" fillId="0" borderId="0" xfId="45" applyNumberFormat="1" applyFont="1" applyFill="1"/>
    <xf numFmtId="43" fontId="29" fillId="0" borderId="0" xfId="0" applyNumberFormat="1" applyFont="1"/>
    <xf numFmtId="174" fontId="35" fillId="0" borderId="0" xfId="45" applyNumberFormat="1" applyFont="1" applyFill="1"/>
    <xf numFmtId="166" fontId="28" fillId="0" borderId="201" xfId="2" applyNumberFormat="1" applyFont="1" applyFill="1" applyBorder="1" applyAlignment="1">
      <alignment horizontal="center" vertical="center"/>
    </xf>
    <xf numFmtId="0" fontId="37" fillId="0" borderId="201" xfId="13" applyFont="1" applyBorder="1" applyAlignment="1">
      <alignment horizontal="center" vertical="center"/>
    </xf>
    <xf numFmtId="43" fontId="37" fillId="0" borderId="204" xfId="45" applyFont="1" applyFill="1" applyBorder="1" applyAlignment="1">
      <alignment horizontal="center" vertical="center"/>
    </xf>
    <xf numFmtId="0" fontId="37" fillId="0" borderId="201" xfId="13" applyFont="1" applyBorder="1" applyAlignment="1">
      <alignment horizontal="right" vertical="center"/>
    </xf>
    <xf numFmtId="173" fontId="38" fillId="0" borderId="0" xfId="1" applyNumberFormat="1" applyFont="1" applyFill="1" applyBorder="1" applyAlignment="1">
      <alignment horizontal="left" vertical="center"/>
    </xf>
    <xf numFmtId="41" fontId="22" fillId="0" borderId="0" xfId="2" applyFont="1" applyFill="1" applyAlignment="1" applyProtection="1">
      <alignment horizontal="centerContinuous" vertical="center"/>
    </xf>
    <xf numFmtId="173" fontId="38" fillId="0" borderId="0" xfId="1" applyNumberFormat="1" applyFont="1" applyFill="1" applyBorder="1" applyAlignment="1" applyProtection="1">
      <alignment horizontal="left" vertical="center"/>
    </xf>
    <xf numFmtId="41" fontId="22" fillId="0" borderId="0" xfId="2" applyFont="1" applyFill="1" applyAlignment="1" applyProtection="1">
      <alignment vertical="center"/>
    </xf>
    <xf numFmtId="0" fontId="23" fillId="0" borderId="0" xfId="11" applyFont="1" applyAlignment="1">
      <alignment horizontal="centerContinuous" vertical="center"/>
    </xf>
    <xf numFmtId="0" fontId="22" fillId="0" borderId="152" xfId="11" applyFont="1" applyBorder="1" applyAlignment="1">
      <alignment horizontal="center" vertical="center"/>
    </xf>
    <xf numFmtId="0" fontId="22" fillId="0" borderId="154" xfId="11" applyFont="1" applyBorder="1" applyAlignment="1">
      <alignment vertical="center"/>
    </xf>
    <xf numFmtId="173" fontId="27" fillId="0" borderId="0" xfId="1" applyNumberFormat="1" applyFont="1" applyFill="1" applyBorder="1" applyAlignment="1" applyProtection="1">
      <alignment horizontal="left" vertical="center"/>
    </xf>
    <xf numFmtId="41" fontId="23" fillId="0" borderId="0" xfId="11" applyNumberFormat="1" applyFont="1" applyAlignment="1">
      <alignment vertical="center"/>
    </xf>
    <xf numFmtId="9" fontId="22" fillId="0" borderId="0" xfId="21" applyFont="1" applyFill="1" applyAlignment="1" applyProtection="1">
      <alignment vertical="center"/>
    </xf>
    <xf numFmtId="0" fontId="23" fillId="0" borderId="152" xfId="11" applyFont="1" applyBorder="1" applyAlignment="1">
      <alignment horizontal="center" vertical="center"/>
    </xf>
    <xf numFmtId="0" fontId="23" fillId="0" borderId="154" xfId="11" applyFont="1" applyBorder="1" applyAlignment="1">
      <alignment vertical="center"/>
    </xf>
    <xf numFmtId="39" fontId="23" fillId="0" borderId="154" xfId="11" applyNumberFormat="1" applyFont="1" applyBorder="1" applyAlignment="1">
      <alignment vertical="center"/>
    </xf>
    <xf numFmtId="39" fontId="23" fillId="0" borderId="154" xfId="11" applyNumberFormat="1" applyFont="1" applyBorder="1" applyAlignment="1">
      <alignment horizontal="center" vertical="center"/>
    </xf>
    <xf numFmtId="166" fontId="22" fillId="0" borderId="155" xfId="2" applyNumberFormat="1" applyFont="1" applyFill="1" applyBorder="1" applyAlignment="1" applyProtection="1">
      <alignment vertical="center"/>
    </xf>
    <xf numFmtId="10" fontId="22" fillId="0" borderId="153" xfId="21" applyNumberFormat="1" applyFont="1" applyFill="1" applyBorder="1" applyAlignment="1" applyProtection="1">
      <alignment vertical="center"/>
    </xf>
    <xf numFmtId="166" fontId="22" fillId="0" borderId="153" xfId="2" applyNumberFormat="1" applyFont="1" applyFill="1" applyBorder="1" applyAlignment="1" applyProtection="1">
      <alignment vertical="center"/>
    </xf>
    <xf numFmtId="166" fontId="23" fillId="0" borderId="156" xfId="2" applyNumberFormat="1" applyFont="1" applyFill="1" applyBorder="1" applyAlignment="1" applyProtection="1">
      <alignment vertical="center"/>
    </xf>
    <xf numFmtId="43" fontId="22" fillId="0" borderId="0" xfId="1" applyFont="1" applyFill="1" applyAlignment="1" applyProtection="1">
      <alignment vertical="center"/>
    </xf>
    <xf numFmtId="43" fontId="23" fillId="0" borderId="0" xfId="1" applyFont="1" applyFill="1" applyAlignment="1">
      <alignment vertical="center"/>
    </xf>
    <xf numFmtId="166" fontId="23" fillId="0" borderId="154" xfId="2" applyNumberFormat="1" applyFont="1" applyFill="1" applyBorder="1" applyAlignment="1" applyProtection="1">
      <alignment horizontal="right" vertical="center"/>
    </xf>
    <xf numFmtId="10" fontId="23" fillId="0" borderId="155" xfId="21" applyNumberFormat="1" applyFont="1" applyFill="1" applyBorder="1" applyAlignment="1" applyProtection="1">
      <alignment vertical="center"/>
    </xf>
    <xf numFmtId="166" fontId="23" fillId="0" borderId="153" xfId="2" applyNumberFormat="1" applyFont="1" applyFill="1" applyBorder="1" applyAlignment="1" applyProtection="1">
      <alignment horizontal="right" vertical="center"/>
    </xf>
    <xf numFmtId="43" fontId="23" fillId="0" borderId="156" xfId="2" applyNumberFormat="1" applyFont="1" applyFill="1" applyBorder="1" applyAlignment="1" applyProtection="1">
      <alignment vertical="center"/>
    </xf>
    <xf numFmtId="10" fontId="22" fillId="0" borderId="0" xfId="21" applyNumberFormat="1" applyFont="1" applyFill="1" applyAlignment="1" applyProtection="1">
      <alignment vertical="center"/>
    </xf>
    <xf numFmtId="39" fontId="22" fillId="0" borderId="154" xfId="11" applyNumberFormat="1" applyFont="1" applyBorder="1" applyAlignment="1">
      <alignment vertical="center"/>
    </xf>
    <xf numFmtId="166" fontId="23" fillId="0" borderId="153" xfId="2" applyNumberFormat="1" applyFont="1" applyFill="1" applyBorder="1" applyAlignment="1" applyProtection="1">
      <alignment vertical="center"/>
    </xf>
    <xf numFmtId="166" fontId="23" fillId="0" borderId="0" xfId="11" applyNumberFormat="1" applyFont="1" applyAlignment="1">
      <alignment vertical="center"/>
    </xf>
    <xf numFmtId="173" fontId="22" fillId="0" borderId="0" xfId="1" applyNumberFormat="1" applyFont="1" applyFill="1" applyAlignment="1">
      <alignment vertical="center"/>
    </xf>
    <xf numFmtId="0" fontId="22" fillId="0" borderId="146" xfId="11" applyFont="1" applyBorder="1" applyAlignment="1">
      <alignment horizontal="center" vertical="center"/>
    </xf>
    <xf numFmtId="0" fontId="22" fillId="0" borderId="149" xfId="11" applyFont="1" applyBorder="1" applyAlignment="1">
      <alignment vertical="center"/>
    </xf>
    <xf numFmtId="39" fontId="22" fillId="0" borderId="147" xfId="11" applyNumberFormat="1" applyFont="1" applyBorder="1" applyAlignment="1">
      <alignment vertical="center"/>
    </xf>
    <xf numFmtId="39" fontId="23" fillId="0" borderId="147" xfId="11" applyNumberFormat="1" applyFont="1" applyBorder="1" applyAlignment="1">
      <alignment vertical="center"/>
    </xf>
    <xf numFmtId="166" fontId="23" fillId="0" borderId="147" xfId="2" applyNumberFormat="1" applyFont="1" applyFill="1" applyBorder="1" applyAlignment="1" applyProtection="1">
      <alignment horizontal="right" vertical="center"/>
    </xf>
    <xf numFmtId="166" fontId="23" fillId="0" borderId="149" xfId="2" applyNumberFormat="1" applyFont="1" applyFill="1" applyBorder="1" applyAlignment="1" applyProtection="1">
      <alignment horizontal="right" vertical="center"/>
    </xf>
    <xf numFmtId="166" fontId="23" fillId="0" borderId="151" xfId="2" applyNumberFormat="1" applyFont="1" applyFill="1" applyBorder="1" applyAlignment="1" applyProtection="1">
      <alignment horizontal="right" vertical="center"/>
    </xf>
    <xf numFmtId="39" fontId="27" fillId="0" borderId="0" xfId="11" applyNumberFormat="1" applyFont="1" applyAlignment="1">
      <alignment vertical="center"/>
    </xf>
    <xf numFmtId="41" fontId="27" fillId="0" borderId="0" xfId="11" applyNumberFormat="1" applyFont="1" applyAlignment="1">
      <alignment vertical="center"/>
    </xf>
    <xf numFmtId="173" fontId="38" fillId="0" borderId="0" xfId="1" applyNumberFormat="1" applyFont="1" applyFill="1" applyAlignment="1" applyProtection="1">
      <alignment horizontal="left" vertical="center"/>
    </xf>
    <xf numFmtId="43" fontId="23" fillId="0" borderId="0" xfId="11" applyNumberFormat="1" applyFont="1" applyAlignment="1">
      <alignment vertical="center"/>
    </xf>
    <xf numFmtId="4" fontId="39" fillId="0" borderId="0" xfId="11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173" fontId="38" fillId="0" borderId="0" xfId="1" applyNumberFormat="1" applyFont="1" applyFill="1" applyAlignment="1">
      <alignment horizontal="left" vertical="center"/>
    </xf>
    <xf numFmtId="41" fontId="22" fillId="0" borderId="0" xfId="11" applyNumberFormat="1" applyFont="1" applyAlignment="1">
      <alignment vertical="center"/>
    </xf>
    <xf numFmtId="172" fontId="22" fillId="0" borderId="0" xfId="2" applyNumberFormat="1" applyFont="1" applyFill="1" applyAlignment="1">
      <alignment vertical="center"/>
    </xf>
    <xf numFmtId="0" fontId="22" fillId="0" borderId="172" xfId="11" applyFont="1" applyBorder="1" applyAlignment="1">
      <alignment horizontal="center" vertical="center"/>
    </xf>
    <xf numFmtId="43" fontId="37" fillId="0" borderId="203" xfId="13" applyNumberFormat="1" applyFont="1" applyBorder="1" applyAlignment="1">
      <alignment horizontal="center" vertical="center"/>
    </xf>
    <xf numFmtId="166" fontId="37" fillId="0" borderId="201" xfId="44" applyNumberFormat="1" applyFont="1" applyFill="1" applyBorder="1" applyAlignment="1">
      <alignment horizontal="center" vertical="center"/>
    </xf>
    <xf numFmtId="0" fontId="41" fillId="0" borderId="0" xfId="11" applyFont="1" applyAlignment="1">
      <alignment vertical="center"/>
    </xf>
    <xf numFmtId="0" fontId="22" fillId="0" borderId="0" xfId="11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1" fontId="22" fillId="0" borderId="0" xfId="2" applyNumberFormat="1" applyFont="1" applyFill="1" applyAlignment="1" applyProtection="1">
      <alignment horizontal="left" vertical="center"/>
    </xf>
    <xf numFmtId="39" fontId="23" fillId="0" borderId="166" xfId="11" applyNumberFormat="1" applyFont="1" applyBorder="1" applyAlignment="1">
      <alignment horizontal="center" vertical="center"/>
    </xf>
    <xf numFmtId="10" fontId="22" fillId="0" borderId="168" xfId="21" applyNumberFormat="1" applyFont="1" applyFill="1" applyBorder="1" applyAlignment="1" applyProtection="1">
      <alignment vertical="center"/>
    </xf>
    <xf numFmtId="166" fontId="22" fillId="0" borderId="168" xfId="2" applyNumberFormat="1" applyFont="1" applyFill="1" applyBorder="1" applyAlignment="1" applyProtection="1">
      <alignment vertical="center"/>
    </xf>
    <xf numFmtId="166" fontId="23" fillId="0" borderId="170" xfId="2" applyNumberFormat="1" applyFont="1" applyFill="1" applyBorder="1" applyAlignment="1" applyProtection="1">
      <alignment vertical="center"/>
    </xf>
    <xf numFmtId="166" fontId="22" fillId="0" borderId="209" xfId="2" applyNumberFormat="1" applyFont="1" applyFill="1" applyBorder="1" applyAlignment="1" applyProtection="1">
      <alignment vertical="center"/>
    </xf>
    <xf numFmtId="0" fontId="22" fillId="0" borderId="212" xfId="11" applyFont="1" applyBorder="1" applyAlignment="1">
      <alignment horizontal="center" vertical="center"/>
    </xf>
    <xf numFmtId="0" fontId="22" fillId="0" borderId="213" xfId="11" applyFont="1" applyBorder="1" applyAlignment="1">
      <alignment vertical="center"/>
    </xf>
    <xf numFmtId="39" fontId="22" fillId="0" borderId="213" xfId="11" applyNumberFormat="1" applyFont="1" applyBorder="1" applyAlignment="1">
      <alignment vertical="center"/>
    </xf>
    <xf numFmtId="39" fontId="23" fillId="0" borderId="213" xfId="11" applyNumberFormat="1" applyFont="1" applyBorder="1" applyAlignment="1">
      <alignment vertical="center"/>
    </xf>
    <xf numFmtId="39" fontId="23" fillId="0" borderId="213" xfId="11" applyNumberFormat="1" applyFont="1" applyBorder="1" applyAlignment="1">
      <alignment horizontal="center" vertical="center"/>
    </xf>
    <xf numFmtId="166" fontId="22" fillId="0" borderId="214" xfId="2" applyNumberFormat="1" applyFont="1" applyFill="1" applyBorder="1" applyAlignment="1" applyProtection="1">
      <alignment vertical="center"/>
    </xf>
    <xf numFmtId="10" fontId="22" fillId="0" borderId="215" xfId="21" applyNumberFormat="1" applyFont="1" applyFill="1" applyBorder="1" applyAlignment="1" applyProtection="1">
      <alignment vertical="center"/>
    </xf>
    <xf numFmtId="166" fontId="22" fillId="0" borderId="215" xfId="2" applyNumberFormat="1" applyFont="1" applyFill="1" applyBorder="1" applyAlignment="1" applyProtection="1">
      <alignment vertical="center"/>
    </xf>
    <xf numFmtId="166" fontId="23" fillId="0" borderId="216" xfId="2" applyNumberFormat="1" applyFont="1" applyFill="1" applyBorder="1" applyAlignment="1" applyProtection="1">
      <alignment vertical="center"/>
    </xf>
    <xf numFmtId="1" fontId="32" fillId="0" borderId="0" xfId="11" applyNumberFormat="1" applyFont="1" applyAlignment="1">
      <alignment horizontal="left" vertical="center"/>
    </xf>
    <xf numFmtId="0" fontId="22" fillId="0" borderId="207" xfId="11" applyFont="1" applyBorder="1" applyAlignment="1">
      <alignment horizontal="center" vertical="center"/>
    </xf>
    <xf numFmtId="0" fontId="22" fillId="0" borderId="208" xfId="11" applyFont="1" applyBorder="1" applyAlignment="1">
      <alignment vertical="center"/>
    </xf>
    <xf numFmtId="39" fontId="22" fillId="0" borderId="208" xfId="11" applyNumberFormat="1" applyFont="1" applyBorder="1" applyAlignment="1">
      <alignment vertical="center"/>
    </xf>
    <xf numFmtId="166" fontId="22" fillId="0" borderId="209" xfId="2" applyNumberFormat="1" applyFont="1" applyFill="1" applyBorder="1" applyAlignment="1" applyProtection="1">
      <alignment horizontal="right" vertical="center"/>
    </xf>
    <xf numFmtId="39" fontId="22" fillId="0" borderId="210" xfId="11" applyNumberFormat="1" applyFont="1" applyBorder="1" applyAlignment="1">
      <alignment horizontal="center" vertical="center"/>
    </xf>
    <xf numFmtId="39" fontId="22" fillId="0" borderId="209" xfId="11" applyNumberFormat="1" applyFont="1" applyBorder="1" applyAlignment="1">
      <alignment horizontal="center" vertical="center"/>
    </xf>
    <xf numFmtId="166" fontId="22" fillId="0" borderId="208" xfId="2" applyNumberFormat="1" applyFont="1" applyFill="1" applyBorder="1" applyAlignment="1" applyProtection="1">
      <alignment vertical="center"/>
    </xf>
    <xf numFmtId="39" fontId="22" fillId="0" borderId="209" xfId="11" applyNumberFormat="1" applyFont="1" applyBorder="1" applyAlignment="1">
      <alignment vertical="center"/>
    </xf>
    <xf numFmtId="9" fontId="22" fillId="0" borderId="209" xfId="21" applyFont="1" applyFill="1" applyBorder="1" applyAlignment="1" applyProtection="1">
      <alignment vertical="center"/>
    </xf>
    <xf numFmtId="166" fontId="22" fillId="0" borderId="211" xfId="2" applyNumberFormat="1" applyFont="1" applyFill="1" applyBorder="1" applyAlignment="1">
      <alignment horizontal="center" vertical="center"/>
    </xf>
    <xf numFmtId="0" fontId="22" fillId="0" borderId="208" xfId="11" applyFont="1" applyBorder="1" applyAlignment="1">
      <alignment horizontal="left" vertical="center"/>
    </xf>
    <xf numFmtId="0" fontId="37" fillId="0" borderId="201" xfId="13" applyFont="1" applyBorder="1" applyAlignment="1">
      <alignment horizontal="right"/>
    </xf>
    <xf numFmtId="41" fontId="28" fillId="0" borderId="201" xfId="2" applyFont="1" applyFill="1" applyBorder="1" applyAlignment="1">
      <alignment horizontal="center" vertical="center"/>
    </xf>
    <xf numFmtId="0" fontId="36" fillId="0" borderId="201" xfId="13" applyFont="1" applyBorder="1" applyAlignment="1">
      <alignment horizontal="right"/>
    </xf>
    <xf numFmtId="39" fontId="23" fillId="0" borderId="177" xfId="11" applyNumberFormat="1" applyFont="1" applyBorder="1" applyAlignment="1">
      <alignment vertical="center"/>
    </xf>
    <xf numFmtId="39" fontId="23" fillId="0" borderId="177" xfId="11" applyNumberFormat="1" applyFont="1" applyBorder="1" applyAlignment="1">
      <alignment horizontal="center" vertical="center"/>
    </xf>
    <xf numFmtId="10" fontId="22" fillId="0" borderId="179" xfId="21" applyNumberFormat="1" applyFont="1" applyFill="1" applyBorder="1" applyAlignment="1" applyProtection="1">
      <alignment vertical="center"/>
    </xf>
    <xf numFmtId="166" fontId="22" fillId="0" borderId="179" xfId="2" applyNumberFormat="1" applyFont="1" applyFill="1" applyBorder="1" applyAlignment="1" applyProtection="1">
      <alignment vertical="center"/>
    </xf>
    <xf numFmtId="166" fontId="23" fillId="0" borderId="181" xfId="2" applyNumberFormat="1" applyFont="1" applyFill="1" applyBorder="1" applyAlignment="1" applyProtection="1">
      <alignment vertical="center"/>
    </xf>
    <xf numFmtId="39" fontId="23" fillId="0" borderId="172" xfId="11" applyNumberFormat="1" applyFont="1" applyBorder="1" applyAlignment="1">
      <alignment vertical="center"/>
    </xf>
    <xf numFmtId="39" fontId="23" fillId="0" borderId="172" xfId="11" applyNumberFormat="1" applyFont="1" applyBorder="1" applyAlignment="1">
      <alignment horizontal="center" vertical="center"/>
    </xf>
    <xf numFmtId="10" fontId="22" fillId="0" borderId="174" xfId="21" applyNumberFormat="1" applyFont="1" applyFill="1" applyBorder="1" applyAlignment="1" applyProtection="1">
      <alignment vertical="center"/>
    </xf>
    <xf numFmtId="166" fontId="22" fillId="0" borderId="174" xfId="2" applyNumberFormat="1" applyFont="1" applyFill="1" applyBorder="1" applyAlignment="1" applyProtection="1">
      <alignment vertical="center"/>
    </xf>
    <xf numFmtId="166" fontId="23" fillId="0" borderId="175" xfId="2" applyNumberFormat="1" applyFont="1" applyFill="1" applyBorder="1" applyAlignment="1" applyProtection="1">
      <alignment vertical="center"/>
    </xf>
    <xf numFmtId="0" fontId="22" fillId="0" borderId="217" xfId="11" applyFont="1" applyBorder="1" applyAlignment="1">
      <alignment horizontal="center" vertical="center"/>
    </xf>
    <xf numFmtId="0" fontId="22" fillId="0" borderId="218" xfId="11" applyFont="1" applyBorder="1" applyAlignment="1">
      <alignment vertical="center"/>
    </xf>
    <xf numFmtId="39" fontId="22" fillId="0" borderId="218" xfId="11" applyNumberFormat="1" applyFont="1" applyBorder="1" applyAlignment="1">
      <alignment vertical="center"/>
    </xf>
    <xf numFmtId="39" fontId="22" fillId="0" borderId="219" xfId="11" applyNumberFormat="1" applyFont="1" applyBorder="1" applyAlignment="1">
      <alignment vertical="center"/>
    </xf>
    <xf numFmtId="39" fontId="22" fillId="0" borderId="220" xfId="11" applyNumberFormat="1" applyFont="1" applyBorder="1" applyAlignment="1">
      <alignment vertical="center"/>
    </xf>
    <xf numFmtId="0" fontId="23" fillId="0" borderId="221" xfId="11" applyFont="1" applyBorder="1" applyAlignment="1">
      <alignment horizontal="center" vertical="center"/>
    </xf>
    <xf numFmtId="0" fontId="23" fillId="0" borderId="222" xfId="11" applyFont="1" applyBorder="1" applyAlignment="1">
      <alignment horizontal="center" vertical="center"/>
    </xf>
    <xf numFmtId="0" fontId="23" fillId="0" borderId="222" xfId="11" applyFont="1" applyBorder="1" applyAlignment="1">
      <alignment horizontal="centerContinuous" vertical="center"/>
    </xf>
    <xf numFmtId="0" fontId="22" fillId="0" borderId="223" xfId="11" applyFont="1" applyBorder="1" applyAlignment="1">
      <alignment horizontal="center" vertical="center"/>
    </xf>
    <xf numFmtId="0" fontId="22" fillId="0" borderId="224" xfId="11" applyFont="1" applyBorder="1" applyAlignment="1">
      <alignment vertical="center"/>
    </xf>
    <xf numFmtId="0" fontId="22" fillId="0" borderId="225" xfId="11" applyFont="1" applyBorder="1" applyAlignment="1">
      <alignment horizontal="center" vertical="center"/>
    </xf>
    <xf numFmtId="0" fontId="22" fillId="0" borderId="226" xfId="11" applyFont="1" applyBorder="1" applyAlignment="1">
      <alignment horizontal="centerContinuous" vertical="center"/>
    </xf>
    <xf numFmtId="37" fontId="28" fillId="0" borderId="227" xfId="11" applyNumberFormat="1" applyFont="1" applyBorder="1" applyAlignment="1">
      <alignment horizontal="center" vertical="center"/>
    </xf>
    <xf numFmtId="39" fontId="28" fillId="0" borderId="228" xfId="11" applyNumberFormat="1" applyFont="1" applyBorder="1" applyAlignment="1">
      <alignment horizontal="left" vertical="center"/>
    </xf>
    <xf numFmtId="39" fontId="28" fillId="0" borderId="228" xfId="11" applyNumberFormat="1" applyFont="1" applyBorder="1" applyAlignment="1">
      <alignment vertical="center"/>
    </xf>
    <xf numFmtId="0" fontId="28" fillId="0" borderId="228" xfId="13" applyFont="1" applyBorder="1"/>
    <xf numFmtId="0" fontId="28" fillId="0" borderId="228" xfId="13" applyFont="1" applyBorder="1" applyAlignment="1">
      <alignment horizontal="right"/>
    </xf>
    <xf numFmtId="43" fontId="28" fillId="0" borderId="229" xfId="13" applyNumberFormat="1" applyFont="1" applyBorder="1" applyAlignment="1">
      <alignment horizontal="center" vertical="center"/>
    </xf>
    <xf numFmtId="0" fontId="28" fillId="0" borderId="228" xfId="13" applyFont="1" applyBorder="1" applyAlignment="1">
      <alignment horizontal="center" vertical="center"/>
    </xf>
    <xf numFmtId="166" fontId="28" fillId="0" borderId="228" xfId="44" applyNumberFormat="1" applyFont="1" applyFill="1" applyBorder="1" applyAlignment="1">
      <alignment horizontal="center" vertical="center"/>
    </xf>
    <xf numFmtId="43" fontId="28" fillId="0" borderId="230" xfId="45" applyFont="1" applyFill="1" applyBorder="1" applyAlignment="1">
      <alignment horizontal="center" vertical="center"/>
    </xf>
    <xf numFmtId="43" fontId="29" fillId="0" borderId="231" xfId="45" applyFont="1" applyFill="1" applyBorder="1" applyAlignment="1">
      <alignment horizontal="center" vertical="center"/>
    </xf>
    <xf numFmtId="0" fontId="29" fillId="0" borderId="232" xfId="13" applyFont="1" applyBorder="1" applyAlignment="1">
      <alignment horizontal="center" vertical="center"/>
    </xf>
    <xf numFmtId="43" fontId="22" fillId="0" borderId="185" xfId="11" applyNumberFormat="1" applyFont="1" applyBorder="1" applyAlignment="1">
      <alignment horizontal="center" vertical="center"/>
    </xf>
    <xf numFmtId="166" fontId="1" fillId="0" borderId="0" xfId="2" applyNumberFormat="1"/>
    <xf numFmtId="43" fontId="1" fillId="0" borderId="0" xfId="28" applyNumberFormat="1"/>
    <xf numFmtId="39" fontId="22" fillId="0" borderId="173" xfId="11" applyNumberFormat="1" applyFont="1" applyBorder="1" applyAlignment="1">
      <alignment horizontal="right" vertical="center"/>
    </xf>
    <xf numFmtId="0" fontId="22" fillId="0" borderId="172" xfId="11" applyFont="1" applyBorder="1" applyAlignment="1">
      <alignment vertical="center"/>
    </xf>
    <xf numFmtId="39" fontId="22" fillId="0" borderId="173" xfId="11" applyNumberFormat="1" applyFont="1" applyBorder="1" applyAlignment="1">
      <alignment horizontal="center" vertical="center"/>
    </xf>
    <xf numFmtId="39" fontId="22" fillId="0" borderId="173" xfId="11" applyNumberFormat="1" applyFont="1" applyBorder="1" applyAlignment="1">
      <alignment vertical="center"/>
    </xf>
    <xf numFmtId="43" fontId="22" fillId="0" borderId="174" xfId="11" applyNumberFormat="1" applyFont="1" applyBorder="1" applyAlignment="1">
      <alignment horizontal="center" vertical="center"/>
    </xf>
    <xf numFmtId="0" fontId="22" fillId="0" borderId="166" xfId="11" applyFont="1" applyBorder="1" applyAlignment="1">
      <alignment horizontal="center" vertical="center"/>
    </xf>
    <xf numFmtId="0" fontId="26" fillId="0" borderId="160" xfId="11" applyFont="1" applyBorder="1" applyAlignment="1">
      <alignment horizontal="center" vertical="center"/>
    </xf>
    <xf numFmtId="0" fontId="26" fillId="0" borderId="161" xfId="11" applyFont="1" applyBorder="1" applyAlignment="1">
      <alignment horizontal="centerContinuous" vertical="center"/>
    </xf>
    <xf numFmtId="0" fontId="26" fillId="0" borderId="161" xfId="11" applyFont="1" applyBorder="1" applyAlignment="1">
      <alignment vertical="center"/>
    </xf>
    <xf numFmtId="43" fontId="36" fillId="0" borderId="203" xfId="13" applyNumberFormat="1" applyFont="1" applyBorder="1" applyAlignment="1">
      <alignment horizontal="center" vertical="center"/>
    </xf>
    <xf numFmtId="0" fontId="36" fillId="0" borderId="201" xfId="13" applyFont="1" applyBorder="1" applyAlignment="1">
      <alignment horizontal="center" vertical="center"/>
    </xf>
    <xf numFmtId="166" fontId="36" fillId="0" borderId="201" xfId="44" applyNumberFormat="1" applyFont="1" applyFill="1" applyBorder="1" applyAlignment="1">
      <alignment horizontal="center" vertical="center"/>
    </xf>
    <xf numFmtId="41" fontId="36" fillId="0" borderId="201" xfId="2" applyFont="1" applyFill="1" applyBorder="1" applyAlignment="1">
      <alignment horizontal="center" vertical="center"/>
    </xf>
    <xf numFmtId="43" fontId="36" fillId="0" borderId="204" xfId="45" applyFont="1" applyFill="1" applyBorder="1" applyAlignment="1">
      <alignment horizontal="center" vertical="center"/>
    </xf>
    <xf numFmtId="43" fontId="43" fillId="0" borderId="205" xfId="45" applyFont="1" applyFill="1" applyBorder="1" applyAlignment="1">
      <alignment horizontal="center" vertical="center"/>
    </xf>
    <xf numFmtId="0" fontId="43" fillId="0" borderId="206" xfId="13" applyFont="1" applyBorder="1" applyAlignment="1">
      <alignment horizontal="center" vertical="center"/>
    </xf>
    <xf numFmtId="166" fontId="36" fillId="0" borderId="201" xfId="2" applyNumberFormat="1" applyFont="1" applyFill="1" applyBorder="1" applyAlignment="1">
      <alignment horizontal="center" vertical="center"/>
    </xf>
    <xf numFmtId="41" fontId="31" fillId="0" borderId="0" xfId="2" applyFont="1" applyFill="1" applyBorder="1" applyAlignment="1">
      <alignment vertical="center"/>
    </xf>
    <xf numFmtId="0" fontId="31" fillId="0" borderId="0" xfId="0" applyFont="1" applyAlignment="1">
      <alignment vertical="center"/>
    </xf>
    <xf numFmtId="41" fontId="31" fillId="0" borderId="0" xfId="2" applyFont="1" applyFill="1" applyAlignment="1">
      <alignment vertical="center"/>
    </xf>
    <xf numFmtId="0" fontId="32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41" fontId="44" fillId="0" borderId="0" xfId="2" applyFont="1" applyFill="1" applyBorder="1" applyAlignment="1" applyProtection="1">
      <alignment horizontal="center" vertical="center"/>
    </xf>
    <xf numFmtId="0" fontId="32" fillId="0" borderId="0" xfId="0" applyFont="1" applyAlignment="1">
      <alignment horizontal="left" vertical="center"/>
    </xf>
    <xf numFmtId="43" fontId="31" fillId="0" borderId="4" xfId="1" applyFont="1" applyFill="1" applyBorder="1" applyAlignment="1">
      <alignment vertical="center"/>
    </xf>
    <xf numFmtId="43" fontId="31" fillId="0" borderId="1" xfId="1" applyFont="1" applyFill="1" applyBorder="1" applyAlignment="1">
      <alignment vertical="center"/>
    </xf>
    <xf numFmtId="9" fontId="31" fillId="0" borderId="4" xfId="1" applyNumberFormat="1" applyFont="1" applyFill="1" applyBorder="1" applyAlignment="1">
      <alignment horizontal="center" vertical="center"/>
    </xf>
    <xf numFmtId="43" fontId="31" fillId="0" borderId="4" xfId="1" applyFont="1" applyFill="1" applyBorder="1" applyAlignment="1">
      <alignment horizontal="center" vertical="center"/>
    </xf>
    <xf numFmtId="43" fontId="31" fillId="0" borderId="7" xfId="1" applyFont="1" applyFill="1" applyBorder="1" applyAlignment="1">
      <alignment vertical="center"/>
    </xf>
    <xf numFmtId="43" fontId="31" fillId="0" borderId="2" xfId="1" applyFont="1" applyFill="1" applyBorder="1" applyAlignment="1">
      <alignment vertical="center"/>
    </xf>
    <xf numFmtId="43" fontId="31" fillId="0" borderId="7" xfId="1" applyFont="1" applyFill="1" applyBorder="1" applyAlignment="1">
      <alignment horizontal="right" vertical="center"/>
    </xf>
    <xf numFmtId="43" fontId="32" fillId="0" borderId="7" xfId="1" applyFont="1" applyFill="1" applyBorder="1" applyAlignment="1">
      <alignment horizontal="right" vertical="center"/>
    </xf>
    <xf numFmtId="9" fontId="31" fillId="0" borderId="4" xfId="21" applyFont="1" applyFill="1" applyBorder="1" applyAlignment="1">
      <alignment horizontal="center" vertical="center"/>
    </xf>
    <xf numFmtId="166" fontId="31" fillId="0" borderId="4" xfId="2" applyNumberFormat="1" applyFont="1" applyFill="1" applyBorder="1" applyAlignment="1">
      <alignment vertical="center"/>
    </xf>
    <xf numFmtId="10" fontId="31" fillId="0" borderId="4" xfId="1" applyNumberFormat="1" applyFont="1" applyFill="1" applyBorder="1" applyAlignment="1">
      <alignment horizontal="center" vertical="center"/>
    </xf>
    <xf numFmtId="10" fontId="31" fillId="0" borderId="4" xfId="21" applyNumberFormat="1" applyFont="1" applyFill="1" applyBorder="1" applyAlignment="1">
      <alignment horizontal="center" vertical="center"/>
    </xf>
    <xf numFmtId="10" fontId="32" fillId="0" borderId="7" xfId="21" applyNumberFormat="1" applyFont="1" applyFill="1" applyBorder="1" applyAlignment="1">
      <alignment horizontal="center" vertical="center"/>
    </xf>
    <xf numFmtId="43" fontId="31" fillId="0" borderId="6" xfId="1" applyFont="1" applyFill="1" applyBorder="1" applyAlignment="1">
      <alignment vertical="center"/>
    </xf>
    <xf numFmtId="0" fontId="31" fillId="0" borderId="0" xfId="10" applyFont="1" applyAlignment="1">
      <alignment vertical="center"/>
    </xf>
    <xf numFmtId="0" fontId="31" fillId="0" borderId="0" xfId="0" applyFont="1"/>
    <xf numFmtId="43" fontId="31" fillId="0" borderId="2" xfId="1" applyFont="1" applyFill="1" applyBorder="1" applyAlignment="1">
      <alignment horizontal="center" vertical="center"/>
    </xf>
    <xf numFmtId="43" fontId="31" fillId="0" borderId="3" xfId="1" applyFont="1" applyFill="1" applyBorder="1" applyAlignment="1">
      <alignment horizontal="center" vertical="center"/>
    </xf>
    <xf numFmtId="41" fontId="31" fillId="0" borderId="0" xfId="0" applyNumberFormat="1" applyFont="1" applyAlignment="1">
      <alignment vertical="center"/>
    </xf>
    <xf numFmtId="43" fontId="31" fillId="0" borderId="0" xfId="1" applyFont="1" applyFill="1" applyBorder="1" applyAlignment="1">
      <alignment vertical="center"/>
    </xf>
    <xf numFmtId="43" fontId="31" fillId="0" borderId="3" xfId="1" applyFont="1" applyFill="1" applyBorder="1" applyAlignment="1">
      <alignment vertical="center"/>
    </xf>
    <xf numFmtId="43" fontId="31" fillId="0" borderId="4" xfId="1" applyFont="1" applyFill="1" applyBorder="1" applyAlignment="1">
      <alignment horizontal="right" vertical="center"/>
    </xf>
    <xf numFmtId="43" fontId="31" fillId="0" borderId="6" xfId="1" applyFont="1" applyFill="1" applyBorder="1" applyAlignment="1">
      <alignment horizontal="right" vertical="center"/>
    </xf>
    <xf numFmtId="43" fontId="31" fillId="0" borderId="44" xfId="1" applyFont="1" applyFill="1" applyBorder="1" applyAlignment="1">
      <alignment horizontal="right" vertical="center"/>
    </xf>
    <xf numFmtId="43" fontId="31" fillId="0" borderId="43" xfId="1" applyFont="1" applyFill="1" applyBorder="1" applyAlignment="1">
      <alignment vertical="center"/>
    </xf>
    <xf numFmtId="10" fontId="31" fillId="0" borderId="44" xfId="1" applyNumberFormat="1" applyFont="1" applyFill="1" applyBorder="1" applyAlignment="1">
      <alignment horizontal="center" vertical="center"/>
    </xf>
    <xf numFmtId="43" fontId="31" fillId="0" borderId="44" xfId="1" applyFont="1" applyFill="1" applyBorder="1" applyAlignment="1">
      <alignment horizontal="center" vertical="center"/>
    </xf>
    <xf numFmtId="166" fontId="31" fillId="0" borderId="44" xfId="2" applyNumberFormat="1" applyFont="1" applyFill="1" applyBorder="1" applyAlignment="1">
      <alignment vertical="center"/>
    </xf>
    <xf numFmtId="166" fontId="31" fillId="0" borderId="6" xfId="2" applyNumberFormat="1" applyFont="1" applyFill="1" applyBorder="1" applyAlignment="1">
      <alignment vertical="center"/>
    </xf>
    <xf numFmtId="166" fontId="31" fillId="0" borderId="4" xfId="2" applyNumberFormat="1" applyFont="1" applyFill="1" applyBorder="1" applyAlignment="1">
      <alignment horizontal="center" vertical="center"/>
    </xf>
    <xf numFmtId="43" fontId="31" fillId="0" borderId="27" xfId="1" applyFont="1" applyFill="1" applyBorder="1" applyAlignment="1">
      <alignment horizontal="right" vertical="center"/>
    </xf>
    <xf numFmtId="43" fontId="31" fillId="0" borderId="27" xfId="1" applyFont="1" applyFill="1" applyBorder="1" applyAlignment="1">
      <alignment vertical="center"/>
    </xf>
    <xf numFmtId="43" fontId="31" fillId="0" borderId="14" xfId="1" applyFont="1" applyFill="1" applyBorder="1" applyAlignment="1">
      <alignment vertical="center"/>
    </xf>
    <xf numFmtId="43" fontId="31" fillId="0" borderId="36" xfId="1" applyFont="1" applyFill="1" applyBorder="1" applyAlignment="1">
      <alignment vertical="center"/>
    </xf>
    <xf numFmtId="43" fontId="31" fillId="0" borderId="3" xfId="1" applyFont="1" applyFill="1" applyBorder="1" applyAlignment="1">
      <alignment horizontal="right" vertical="center"/>
    </xf>
    <xf numFmtId="43" fontId="31" fillId="0" borderId="29" xfId="1" applyFont="1" applyFill="1" applyBorder="1" applyAlignment="1">
      <alignment horizontal="right" vertical="center"/>
    </xf>
    <xf numFmtId="43" fontId="31" fillId="0" borderId="30" xfId="1" applyFont="1" applyFill="1" applyBorder="1" applyAlignment="1">
      <alignment vertical="center"/>
    </xf>
    <xf numFmtId="43" fontId="31" fillId="0" borderId="27" xfId="1" applyFont="1" applyFill="1" applyBorder="1" applyAlignment="1">
      <alignment horizontal="center" vertical="center"/>
    </xf>
    <xf numFmtId="43" fontId="31" fillId="0" borderId="30" xfId="1" applyFont="1" applyFill="1" applyBorder="1" applyAlignment="1">
      <alignment horizontal="right" vertical="center"/>
    </xf>
    <xf numFmtId="166" fontId="31" fillId="0" borderId="27" xfId="2" applyNumberFormat="1" applyFont="1" applyFill="1" applyBorder="1" applyAlignment="1">
      <alignment vertical="center"/>
    </xf>
    <xf numFmtId="166" fontId="31" fillId="0" borderId="0" xfId="2" applyNumberFormat="1" applyFont="1" applyFill="1" applyBorder="1" applyAlignment="1">
      <alignment vertical="center"/>
    </xf>
    <xf numFmtId="43" fontId="31" fillId="0" borderId="44" xfId="1" applyFont="1" applyFill="1" applyBorder="1" applyAlignment="1">
      <alignment vertical="center"/>
    </xf>
    <xf numFmtId="43" fontId="31" fillId="0" borderId="29" xfId="1" applyFont="1" applyFill="1" applyBorder="1" applyAlignment="1">
      <alignment vertical="center"/>
    </xf>
    <xf numFmtId="43" fontId="31" fillId="0" borderId="23" xfId="1" applyFont="1" applyFill="1" applyBorder="1" applyAlignment="1">
      <alignment vertical="center"/>
    </xf>
    <xf numFmtId="43" fontId="31" fillId="0" borderId="24" xfId="1" applyFont="1" applyFill="1" applyBorder="1" applyAlignment="1">
      <alignment vertical="center"/>
    </xf>
    <xf numFmtId="43" fontId="31" fillId="0" borderId="191" xfId="1" applyFont="1" applyFill="1" applyBorder="1" applyAlignment="1">
      <alignment horizontal="center" vertical="center"/>
    </xf>
    <xf numFmtId="43" fontId="31" fillId="0" borderId="191" xfId="1" applyFont="1" applyFill="1" applyBorder="1" applyAlignment="1">
      <alignment vertical="center"/>
    </xf>
    <xf numFmtId="9" fontId="31" fillId="0" borderId="191" xfId="1" applyNumberFormat="1" applyFont="1" applyFill="1" applyBorder="1" applyAlignment="1">
      <alignment horizontal="center" vertical="center"/>
    </xf>
    <xf numFmtId="9" fontId="31" fillId="0" borderId="191" xfId="21" applyFont="1" applyFill="1" applyBorder="1" applyAlignment="1">
      <alignment horizontal="center" vertical="center"/>
    </xf>
    <xf numFmtId="41" fontId="31" fillId="0" borderId="0" xfId="2" applyFont="1" applyFill="1" applyBorder="1"/>
    <xf numFmtId="43" fontId="31" fillId="0" borderId="191" xfId="1" applyFont="1" applyFill="1" applyBorder="1" applyAlignment="1">
      <alignment horizontal="right" vertical="center"/>
    </xf>
    <xf numFmtId="43" fontId="31" fillId="0" borderId="187" xfId="1" applyFont="1" applyFill="1" applyBorder="1" applyAlignment="1">
      <alignment vertical="center"/>
    </xf>
    <xf numFmtId="43" fontId="31" fillId="0" borderId="184" xfId="1" applyFont="1" applyFill="1" applyBorder="1" applyAlignment="1">
      <alignment horizontal="right" vertical="center"/>
    </xf>
    <xf numFmtId="43" fontId="31" fillId="0" borderId="193" xfId="1" applyFont="1" applyFill="1" applyBorder="1" applyAlignment="1">
      <alignment vertical="center"/>
    </xf>
    <xf numFmtId="43" fontId="31" fillId="0" borderId="193" xfId="1" applyFont="1" applyFill="1" applyBorder="1" applyAlignment="1">
      <alignment horizontal="right" vertical="center"/>
    </xf>
    <xf numFmtId="9" fontId="31" fillId="0" borderId="191" xfId="24" applyFont="1" applyFill="1" applyBorder="1" applyAlignment="1">
      <alignment horizontal="center" vertical="center"/>
    </xf>
    <xf numFmtId="166" fontId="31" fillId="0" borderId="191" xfId="2" applyNumberFormat="1" applyFont="1" applyFill="1" applyBorder="1" applyAlignment="1">
      <alignment vertical="center"/>
    </xf>
    <xf numFmtId="43" fontId="31" fillId="0" borderId="184" xfId="1" applyFont="1" applyFill="1" applyBorder="1" applyAlignment="1">
      <alignment vertical="center"/>
    </xf>
    <xf numFmtId="166" fontId="37" fillId="0" borderId="203" xfId="44" applyNumberFormat="1" applyFont="1" applyFill="1" applyBorder="1" applyAlignment="1">
      <alignment horizontal="center" vertical="center"/>
    </xf>
    <xf numFmtId="41" fontId="38" fillId="0" borderId="0" xfId="2" applyFont="1" applyFill="1" applyAlignment="1">
      <alignment vertical="center"/>
    </xf>
    <xf numFmtId="41" fontId="47" fillId="0" borderId="0" xfId="2" applyFont="1" applyFill="1" applyAlignment="1">
      <alignment horizontal="center" vertical="center"/>
    </xf>
    <xf numFmtId="0" fontId="38" fillId="0" borderId="0" xfId="11" applyFont="1" applyAlignment="1">
      <alignment vertical="center"/>
    </xf>
    <xf numFmtId="37" fontId="37" fillId="0" borderId="200" xfId="11" applyNumberFormat="1" applyFont="1" applyBorder="1" applyAlignment="1">
      <alignment horizontal="center" vertical="center"/>
    </xf>
    <xf numFmtId="39" fontId="37" fillId="0" borderId="201" xfId="11" applyNumberFormat="1" applyFont="1" applyBorder="1" applyAlignment="1">
      <alignment horizontal="left" vertical="center"/>
    </xf>
    <xf numFmtId="39" fontId="37" fillId="0" borderId="202" xfId="11" applyNumberFormat="1" applyFont="1" applyBorder="1" applyAlignment="1">
      <alignment vertical="center"/>
    </xf>
    <xf numFmtId="0" fontId="37" fillId="0" borderId="201" xfId="13" applyFont="1" applyBorder="1"/>
    <xf numFmtId="43" fontId="33" fillId="0" borderId="205" xfId="45" applyFont="1" applyFill="1" applyBorder="1" applyAlignment="1">
      <alignment horizontal="center" vertical="center"/>
    </xf>
    <xf numFmtId="0" fontId="33" fillId="0" borderId="206" xfId="13" applyFont="1" applyBorder="1" applyAlignment="1">
      <alignment horizontal="center" vertical="center"/>
    </xf>
    <xf numFmtId="0" fontId="48" fillId="0" borderId="0" xfId="0" applyFont="1"/>
    <xf numFmtId="0" fontId="1" fillId="0" borderId="0" xfId="0" applyFont="1"/>
    <xf numFmtId="43" fontId="28" fillId="0" borderId="201" xfId="1" applyFont="1" applyFill="1" applyBorder="1" applyAlignment="1">
      <alignment horizontal="center" vertical="center"/>
    </xf>
    <xf numFmtId="43" fontId="0" fillId="0" borderId="0" xfId="1" applyFont="1"/>
    <xf numFmtId="0" fontId="23" fillId="0" borderId="249" xfId="11" applyFont="1" applyBorder="1" applyAlignment="1">
      <alignment horizontal="center" vertical="center"/>
    </xf>
    <xf numFmtId="39" fontId="23" fillId="0" borderId="0" xfId="11" applyNumberFormat="1" applyFont="1" applyAlignment="1">
      <alignment vertical="center"/>
    </xf>
    <xf numFmtId="39" fontId="23" fillId="0" borderId="0" xfId="11" applyNumberFormat="1" applyFont="1" applyAlignment="1">
      <alignment horizontal="center" vertical="center"/>
    </xf>
    <xf numFmtId="166" fontId="22" fillId="0" borderId="39" xfId="2" applyNumberFormat="1" applyFont="1" applyFill="1" applyBorder="1" applyAlignment="1" applyProtection="1">
      <alignment vertical="center"/>
    </xf>
    <xf numFmtId="10" fontId="22" fillId="0" borderId="38" xfId="21" applyNumberFormat="1" applyFont="1" applyFill="1" applyBorder="1" applyAlignment="1" applyProtection="1">
      <alignment vertical="center"/>
    </xf>
    <xf numFmtId="166" fontId="22" fillId="0" borderId="38" xfId="2" applyNumberFormat="1" applyFont="1" applyFill="1" applyBorder="1" applyAlignment="1" applyProtection="1">
      <alignment vertical="center"/>
    </xf>
    <xf numFmtId="166" fontId="23" fillId="0" borderId="57" xfId="2" applyNumberFormat="1" applyFont="1" applyFill="1" applyBorder="1" applyAlignment="1" applyProtection="1">
      <alignment vertical="center"/>
    </xf>
    <xf numFmtId="0" fontId="22" fillId="0" borderId="171" xfId="11" applyFont="1" applyBorder="1" applyAlignment="1">
      <alignment horizontal="center" vertical="center"/>
    </xf>
    <xf numFmtId="39" fontId="22" fillId="0" borderId="172" xfId="11" applyNumberFormat="1" applyFont="1" applyBorder="1" applyAlignment="1">
      <alignment vertical="center"/>
    </xf>
    <xf numFmtId="9" fontId="31" fillId="0" borderId="0" xfId="21" applyFont="1" applyFill="1" applyBorder="1"/>
    <xf numFmtId="43" fontId="31" fillId="0" borderId="0" xfId="1" applyFont="1" applyFill="1" applyAlignment="1">
      <alignment vertical="center"/>
    </xf>
    <xf numFmtId="39" fontId="49" fillId="0" borderId="166" xfId="11" applyNumberFormat="1" applyFont="1" applyBorder="1" applyAlignment="1">
      <alignment horizontal="right" vertical="center"/>
    </xf>
    <xf numFmtId="10" fontId="31" fillId="0" borderId="191" xfId="1" applyNumberFormat="1" applyFont="1" applyFill="1" applyBorder="1" applyAlignment="1">
      <alignment horizontal="center" vertical="center"/>
    </xf>
    <xf numFmtId="166" fontId="36" fillId="0" borderId="201" xfId="13" applyNumberFormat="1" applyFont="1" applyBorder="1" applyAlignment="1">
      <alignment horizontal="center" vertical="center"/>
    </xf>
    <xf numFmtId="43" fontId="33" fillId="0" borderId="204" xfId="45" applyFont="1" applyFill="1" applyBorder="1" applyAlignment="1">
      <alignment horizontal="center" vertical="center"/>
    </xf>
    <xf numFmtId="41" fontId="36" fillId="0" borderId="201" xfId="44" applyFont="1" applyFill="1" applyBorder="1" applyAlignment="1">
      <alignment horizontal="center" vertical="center"/>
    </xf>
    <xf numFmtId="0" fontId="50" fillId="0" borderId="0" xfId="11" applyFont="1" applyAlignment="1">
      <alignment vertical="center"/>
    </xf>
    <xf numFmtId="0" fontId="50" fillId="0" borderId="0" xfId="11" applyFont="1" applyAlignment="1">
      <alignment horizontal="center" vertical="center"/>
    </xf>
    <xf numFmtId="0" fontId="50" fillId="0" borderId="0" xfId="11" applyFont="1" applyAlignment="1">
      <alignment horizontal="left" vertical="center"/>
    </xf>
    <xf numFmtId="0" fontId="44" fillId="0" borderId="0" xfId="11" applyFont="1" applyAlignment="1">
      <alignment horizontal="center" vertical="center"/>
    </xf>
    <xf numFmtId="41" fontId="31" fillId="0" borderId="0" xfId="11" applyNumberFormat="1" applyFont="1" applyAlignment="1">
      <alignment horizontal="left" vertical="center"/>
    </xf>
    <xf numFmtId="0" fontId="45" fillId="0" borderId="0" xfId="11" applyFont="1" applyAlignment="1">
      <alignment horizontal="center" vertical="center"/>
    </xf>
    <xf numFmtId="41" fontId="31" fillId="0" borderId="0" xfId="11" applyNumberFormat="1" applyFont="1" applyAlignment="1">
      <alignment horizontal="right" vertical="center"/>
    </xf>
    <xf numFmtId="0" fontId="32" fillId="0" borderId="0" xfId="11" applyFont="1"/>
    <xf numFmtId="169" fontId="31" fillId="0" borderId="0" xfId="11" applyNumberFormat="1" applyFont="1" applyAlignment="1">
      <alignment vertical="center"/>
    </xf>
    <xf numFmtId="39" fontId="31" fillId="0" borderId="0" xfId="11" applyNumberFormat="1" applyFont="1" applyAlignment="1">
      <alignment vertical="center"/>
    </xf>
    <xf numFmtId="0" fontId="31" fillId="0" borderId="0" xfId="11" applyFont="1" applyAlignment="1">
      <alignment horizontal="left" vertical="center"/>
    </xf>
    <xf numFmtId="168" fontId="31" fillId="0" borderId="0" xfId="11" applyNumberFormat="1" applyFont="1" applyAlignment="1">
      <alignment vertical="center"/>
    </xf>
    <xf numFmtId="0" fontId="31" fillId="0" borderId="0" xfId="0" applyFont="1" applyAlignment="1">
      <alignment horizontal="right" vertical="center"/>
    </xf>
    <xf numFmtId="43" fontId="31" fillId="0" borderId="0" xfId="11" applyNumberFormat="1" applyFont="1" applyAlignment="1">
      <alignment vertical="center"/>
    </xf>
    <xf numFmtId="9" fontId="31" fillId="0" borderId="0" xfId="10" applyNumberFormat="1" applyFont="1" applyAlignment="1">
      <alignment vertical="center"/>
    </xf>
    <xf numFmtId="41" fontId="31" fillId="0" borderId="0" xfId="10" applyNumberFormat="1" applyFont="1" applyAlignment="1">
      <alignment vertical="center"/>
    </xf>
    <xf numFmtId="43" fontId="31" fillId="0" borderId="0" xfId="10" applyNumberFormat="1" applyFont="1" applyAlignment="1">
      <alignment vertical="center"/>
    </xf>
    <xf numFmtId="0" fontId="31" fillId="0" borderId="1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31" fillId="0" borderId="3" xfId="0" applyFont="1" applyBorder="1" applyAlignment="1">
      <alignment vertical="center"/>
    </xf>
    <xf numFmtId="0" fontId="31" fillId="0" borderId="1" xfId="0" applyFont="1" applyBorder="1" applyAlignment="1">
      <alignment vertical="center"/>
    </xf>
    <xf numFmtId="0" fontId="31" fillId="0" borderId="4" xfId="11" applyFont="1" applyBorder="1" applyAlignment="1">
      <alignment vertical="center"/>
    </xf>
    <xf numFmtId="0" fontId="31" fillId="0" borderId="4" xfId="0" applyFont="1" applyBorder="1" applyAlignment="1">
      <alignment horizontal="center" vertical="center"/>
    </xf>
    <xf numFmtId="168" fontId="31" fillId="0" borderId="4" xfId="11" applyNumberFormat="1" applyFont="1" applyBorder="1" applyAlignment="1">
      <alignment horizontal="center" vertical="center"/>
    </xf>
    <xf numFmtId="0" fontId="31" fillId="0" borderId="2" xfId="0" applyFont="1" applyBorder="1" applyAlignment="1">
      <alignment vertical="center"/>
    </xf>
    <xf numFmtId="0" fontId="31" fillId="0" borderId="5" xfId="11" applyFont="1" applyBorder="1" applyAlignment="1">
      <alignment vertical="center"/>
    </xf>
    <xf numFmtId="0" fontId="31" fillId="0" borderId="6" xfId="11" applyFont="1" applyBorder="1" applyAlignment="1">
      <alignment vertical="center"/>
    </xf>
    <xf numFmtId="0" fontId="31" fillId="0" borderId="6" xfId="0" applyFont="1" applyBorder="1" applyAlignment="1">
      <alignment horizontal="center" vertical="center"/>
    </xf>
    <xf numFmtId="168" fontId="31" fillId="0" borderId="6" xfId="11" applyNumberFormat="1" applyFont="1" applyBorder="1" applyAlignment="1">
      <alignment horizontal="center" vertical="center"/>
    </xf>
    <xf numFmtId="0" fontId="31" fillId="0" borderId="5" xfId="0" applyFont="1" applyBorder="1" applyAlignment="1">
      <alignment vertical="center"/>
    </xf>
    <xf numFmtId="0" fontId="31" fillId="0" borderId="6" xfId="0" applyFont="1" applyBorder="1" applyAlignment="1">
      <alignment vertical="center"/>
    </xf>
    <xf numFmtId="164" fontId="31" fillId="0" borderId="6" xfId="0" applyNumberFormat="1" applyFont="1" applyBorder="1" applyAlignment="1">
      <alignment horizontal="center" vertical="center"/>
    </xf>
    <xf numFmtId="0" fontId="31" fillId="0" borderId="4" xfId="0" applyFont="1" applyBorder="1" applyAlignment="1">
      <alignment vertical="center"/>
    </xf>
    <xf numFmtId="164" fontId="31" fillId="0" borderId="4" xfId="0" applyNumberFormat="1" applyFont="1" applyBorder="1" applyAlignment="1">
      <alignment horizontal="center" vertical="center"/>
    </xf>
    <xf numFmtId="39" fontId="31" fillId="0" borderId="4" xfId="0" applyNumberFormat="1" applyFont="1" applyBorder="1" applyAlignment="1">
      <alignment horizontal="right" vertical="center"/>
    </xf>
    <xf numFmtId="39" fontId="31" fillId="0" borderId="6" xfId="0" applyNumberFormat="1" applyFont="1" applyBorder="1" applyAlignment="1">
      <alignment horizontal="right" vertical="center"/>
    </xf>
    <xf numFmtId="0" fontId="31" fillId="0" borderId="10" xfId="0" applyFont="1" applyBorder="1" applyAlignment="1">
      <alignment vertical="center"/>
    </xf>
    <xf numFmtId="9" fontId="32" fillId="0" borderId="7" xfId="0" applyNumberFormat="1" applyFont="1" applyBorder="1" applyAlignment="1">
      <alignment horizontal="center" vertical="center"/>
    </xf>
    <xf numFmtId="39" fontId="31" fillId="0" borderId="4" xfId="0" applyNumberFormat="1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5" xfId="0" applyFont="1" applyBorder="1" applyAlignment="1">
      <alignment vertical="center"/>
    </xf>
    <xf numFmtId="0" fontId="32" fillId="0" borderId="6" xfId="0" applyFont="1" applyBorder="1" applyAlignment="1">
      <alignment vertical="center"/>
    </xf>
    <xf numFmtId="0" fontId="32" fillId="0" borderId="6" xfId="0" applyFont="1" applyBorder="1" applyAlignment="1">
      <alignment horizontal="center" vertical="center"/>
    </xf>
    <xf numFmtId="0" fontId="32" fillId="0" borderId="7" xfId="0" applyFont="1" applyBorder="1" applyAlignment="1">
      <alignment horizontal="right" vertical="center"/>
    </xf>
    <xf numFmtId="43" fontId="32" fillId="0" borderId="4" xfId="0" applyNumberFormat="1" applyFont="1" applyBorder="1" applyAlignment="1">
      <alignment vertic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horizontal="right" vertical="center"/>
    </xf>
    <xf numFmtId="43" fontId="32" fillId="0" borderId="0" xfId="0" applyNumberFormat="1" applyFont="1" applyAlignment="1">
      <alignment vertical="center"/>
    </xf>
    <xf numFmtId="0" fontId="31" fillId="0" borderId="0" xfId="10" applyFont="1" applyAlignment="1">
      <alignment horizontal="center" vertical="center"/>
    </xf>
    <xf numFmtId="39" fontId="31" fillId="0" borderId="4" xfId="0" applyNumberFormat="1" applyFont="1" applyBorder="1" applyAlignment="1">
      <alignment vertical="center"/>
    </xf>
    <xf numFmtId="39" fontId="31" fillId="0" borderId="6" xfId="0" applyNumberFormat="1" applyFont="1" applyBorder="1" applyAlignment="1">
      <alignment vertical="center"/>
    </xf>
    <xf numFmtId="0" fontId="32" fillId="0" borderId="4" xfId="0" applyFont="1" applyBorder="1" applyAlignment="1">
      <alignment horizontal="center" vertical="center"/>
    </xf>
    <xf numFmtId="43" fontId="32" fillId="0" borderId="7" xfId="0" applyNumberFormat="1" applyFont="1" applyBorder="1" applyAlignment="1">
      <alignment horizontal="right" vertical="center"/>
    </xf>
    <xf numFmtId="43" fontId="31" fillId="0" borderId="0" xfId="0" applyNumberFormat="1" applyFont="1" applyAlignment="1">
      <alignment vertical="center"/>
    </xf>
    <xf numFmtId="0" fontId="31" fillId="0" borderId="4" xfId="0" applyFont="1" applyBorder="1" applyAlignment="1">
      <alignment horizontal="left" vertical="center"/>
    </xf>
    <xf numFmtId="0" fontId="31" fillId="0" borderId="9" xfId="0" applyFont="1" applyBorder="1" applyAlignment="1">
      <alignment horizontal="left" vertical="center"/>
    </xf>
    <xf numFmtId="164" fontId="31" fillId="0" borderId="3" xfId="0" applyNumberFormat="1" applyFont="1" applyBorder="1" applyAlignment="1">
      <alignment horizontal="center" vertical="center"/>
    </xf>
    <xf numFmtId="39" fontId="31" fillId="0" borderId="3" xfId="0" applyNumberFormat="1" applyFont="1" applyBorder="1" applyAlignment="1">
      <alignment horizontal="right" vertical="center"/>
    </xf>
    <xf numFmtId="0" fontId="31" fillId="0" borderId="1" xfId="0" applyFont="1" applyBorder="1" applyAlignment="1">
      <alignment horizontal="left" vertical="center"/>
    </xf>
    <xf numFmtId="0" fontId="31" fillId="0" borderId="5" xfId="0" applyFont="1" applyBorder="1" applyAlignment="1">
      <alignment horizontal="left" vertical="center"/>
    </xf>
    <xf numFmtId="0" fontId="31" fillId="0" borderId="6" xfId="0" applyFont="1" applyBorder="1" applyAlignment="1">
      <alignment horizontal="left" vertical="center"/>
    </xf>
    <xf numFmtId="39" fontId="31" fillId="0" borderId="7" xfId="0" applyNumberFormat="1" applyFont="1" applyBorder="1" applyAlignment="1">
      <alignment vertical="center"/>
    </xf>
    <xf numFmtId="43" fontId="31" fillId="0" borderId="4" xfId="0" applyNumberFormat="1" applyFont="1" applyBorder="1" applyAlignment="1">
      <alignment vertical="center"/>
    </xf>
    <xf numFmtId="0" fontId="31" fillId="0" borderId="3" xfId="0" applyFont="1" applyBorder="1" applyAlignment="1">
      <alignment horizontal="left" vertical="center"/>
    </xf>
    <xf numFmtId="0" fontId="32" fillId="0" borderId="6" xfId="0" applyFont="1" applyBorder="1"/>
    <xf numFmtId="0" fontId="32" fillId="0" borderId="6" xfId="0" applyFont="1" applyBorder="1" applyAlignment="1">
      <alignment horizontal="center"/>
    </xf>
    <xf numFmtId="10" fontId="32" fillId="0" borderId="7" xfId="0" applyNumberFormat="1" applyFont="1" applyBorder="1" applyAlignment="1">
      <alignment horizontal="center" vertical="center"/>
    </xf>
    <xf numFmtId="164" fontId="31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center"/>
    </xf>
    <xf numFmtId="0" fontId="31" fillId="0" borderId="26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31" xfId="0" applyFont="1" applyBorder="1" applyAlignment="1">
      <alignment horizontal="center" vertical="center"/>
    </xf>
    <xf numFmtId="0" fontId="31" fillId="0" borderId="36" xfId="0" applyFont="1" applyBorder="1" applyAlignment="1">
      <alignment horizontal="center" vertical="center"/>
    </xf>
    <xf numFmtId="165" fontId="31" fillId="0" borderId="4" xfId="0" applyNumberFormat="1" applyFont="1" applyBorder="1" applyAlignment="1">
      <alignment horizontal="center" vertical="center"/>
    </xf>
    <xf numFmtId="0" fontId="31" fillId="0" borderId="8" xfId="0" applyFont="1" applyBorder="1" applyAlignment="1">
      <alignment horizontal="left" vertical="center"/>
    </xf>
    <xf numFmtId="2" fontId="32" fillId="0" borderId="6" xfId="0" applyNumberFormat="1" applyFont="1" applyBorder="1" applyAlignment="1">
      <alignment horizontal="center" vertical="center"/>
    </xf>
    <xf numFmtId="43" fontId="32" fillId="0" borderId="6" xfId="0" applyNumberFormat="1" applyFont="1" applyBorder="1" applyAlignment="1">
      <alignment vertical="center"/>
    </xf>
    <xf numFmtId="4" fontId="32" fillId="0" borderId="4" xfId="0" applyNumberFormat="1" applyFont="1" applyBorder="1" applyAlignment="1">
      <alignment vertical="center"/>
    </xf>
    <xf numFmtId="39" fontId="31" fillId="0" borderId="0" xfId="0" applyNumberFormat="1" applyFont="1" applyAlignment="1">
      <alignment horizontal="right" vertical="center"/>
    </xf>
    <xf numFmtId="39" fontId="31" fillId="0" borderId="7" xfId="0" applyNumberFormat="1" applyFont="1" applyBorder="1" applyAlignment="1">
      <alignment horizontal="right" vertical="center"/>
    </xf>
    <xf numFmtId="0" fontId="31" fillId="0" borderId="4" xfId="0" applyFont="1" applyBorder="1" applyAlignment="1">
      <alignment horizontal="right" vertical="center"/>
    </xf>
    <xf numFmtId="0" fontId="31" fillId="0" borderId="6" xfId="0" applyFont="1" applyBorder="1" applyAlignment="1">
      <alignment horizontal="right" vertical="center"/>
    </xf>
    <xf numFmtId="164" fontId="31" fillId="0" borderId="0" xfId="0" applyNumberFormat="1" applyFont="1" applyAlignment="1">
      <alignment vertical="center"/>
    </xf>
    <xf numFmtId="0" fontId="31" fillId="0" borderId="43" xfId="0" applyFont="1" applyBorder="1" applyAlignment="1">
      <alignment vertical="center"/>
    </xf>
    <xf numFmtId="0" fontId="31" fillId="0" borderId="190" xfId="0" applyFont="1" applyBorder="1" applyAlignment="1">
      <alignment horizontal="left" vertical="center"/>
    </xf>
    <xf numFmtId="0" fontId="31" fillId="0" borderId="4" xfId="0" applyFont="1" applyBorder="1"/>
    <xf numFmtId="164" fontId="31" fillId="0" borderId="4" xfId="0" applyNumberFormat="1" applyFont="1" applyBorder="1" applyAlignment="1">
      <alignment horizontal="center"/>
    </xf>
    <xf numFmtId="0" fontId="31" fillId="0" borderId="43" xfId="0" applyFont="1" applyBorder="1" applyAlignment="1">
      <alignment horizontal="center" vertical="center"/>
    </xf>
    <xf numFmtId="0" fontId="31" fillId="0" borderId="44" xfId="0" applyFont="1" applyBorder="1"/>
    <xf numFmtId="0" fontId="31" fillId="0" borderId="44" xfId="0" applyFont="1" applyBorder="1" applyAlignment="1">
      <alignment vertical="center"/>
    </xf>
    <xf numFmtId="0" fontId="31" fillId="0" borderId="44" xfId="0" applyFont="1" applyBorder="1" applyAlignment="1">
      <alignment horizontal="center" vertical="center"/>
    </xf>
    <xf numFmtId="164" fontId="31" fillId="0" borderId="44" xfId="0" applyNumberFormat="1" applyFont="1" applyBorder="1" applyAlignment="1">
      <alignment horizontal="center"/>
    </xf>
    <xf numFmtId="169" fontId="31" fillId="0" borderId="0" xfId="10" applyNumberFormat="1" applyFont="1" applyAlignment="1">
      <alignment vertical="center"/>
    </xf>
    <xf numFmtId="0" fontId="31" fillId="0" borderId="40" xfId="0" applyFont="1" applyBorder="1" applyAlignment="1">
      <alignment horizontal="left" vertical="center"/>
    </xf>
    <xf numFmtId="165" fontId="31" fillId="0" borderId="6" xfId="0" applyNumberFormat="1" applyFont="1" applyBorder="1" applyAlignment="1">
      <alignment horizontal="center" vertical="center"/>
    </xf>
    <xf numFmtId="167" fontId="31" fillId="0" borderId="7" xfId="0" applyNumberFormat="1" applyFont="1" applyBorder="1" applyAlignment="1">
      <alignment vertical="center"/>
    </xf>
    <xf numFmtId="0" fontId="31" fillId="0" borderId="44" xfId="0" applyFont="1" applyBorder="1" applyAlignment="1">
      <alignment horizontal="left" vertical="center"/>
    </xf>
    <xf numFmtId="164" fontId="31" fillId="0" borderId="44" xfId="0" applyNumberFormat="1" applyFont="1" applyBorder="1" applyAlignment="1">
      <alignment horizontal="center" vertical="center"/>
    </xf>
    <xf numFmtId="0" fontId="31" fillId="0" borderId="7" xfId="0" applyFont="1" applyBorder="1" applyAlignment="1">
      <alignment vertical="center"/>
    </xf>
    <xf numFmtId="43" fontId="31" fillId="0" borderId="0" xfId="0" applyNumberFormat="1" applyFont="1"/>
    <xf numFmtId="0" fontId="31" fillId="0" borderId="14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0" fontId="31" fillId="0" borderId="36" xfId="0" applyFont="1" applyBorder="1" applyAlignment="1">
      <alignment vertical="center"/>
    </xf>
    <xf numFmtId="0" fontId="31" fillId="0" borderId="27" xfId="33" applyFont="1" applyBorder="1" applyAlignment="1">
      <alignment vertical="center"/>
    </xf>
    <xf numFmtId="0" fontId="31" fillId="0" borderId="27" xfId="0" applyFont="1" applyBorder="1" applyAlignment="1">
      <alignment vertical="center"/>
    </xf>
    <xf numFmtId="0" fontId="31" fillId="0" borderId="27" xfId="33" applyFont="1" applyBorder="1" applyAlignment="1">
      <alignment horizontal="center" vertical="center"/>
    </xf>
    <xf numFmtId="164" fontId="31" fillId="0" borderId="27" xfId="33" applyNumberFormat="1" applyFont="1" applyBorder="1" applyAlignment="1">
      <alignment horizontal="center" vertical="center"/>
    </xf>
    <xf numFmtId="0" fontId="31" fillId="0" borderId="28" xfId="33" applyFont="1" applyBorder="1" applyAlignment="1">
      <alignment vertical="center"/>
    </xf>
    <xf numFmtId="0" fontId="31" fillId="0" borderId="29" xfId="0" applyFont="1" applyBorder="1" applyAlignment="1">
      <alignment vertical="center"/>
    </xf>
    <xf numFmtId="0" fontId="31" fillId="0" borderId="29" xfId="33" applyFont="1" applyBorder="1" applyAlignment="1">
      <alignment horizontal="center" vertical="center"/>
    </xf>
    <xf numFmtId="164" fontId="31" fillId="0" borderId="29" xfId="33" applyNumberFormat="1" applyFont="1" applyBorder="1" applyAlignment="1">
      <alignment horizontal="center" vertical="center"/>
    </xf>
    <xf numFmtId="0" fontId="31" fillId="0" borderId="14" xfId="0" applyFont="1" applyBorder="1" applyAlignment="1">
      <alignment vertical="center"/>
    </xf>
    <xf numFmtId="0" fontId="31" fillId="0" borderId="28" xfId="0" applyFont="1" applyBorder="1" applyAlignment="1">
      <alignment vertical="center"/>
    </xf>
    <xf numFmtId="0" fontId="31" fillId="0" borderId="29" xfId="0" applyFont="1" applyBorder="1" applyAlignment="1">
      <alignment horizontal="center" vertical="center"/>
    </xf>
    <xf numFmtId="164" fontId="31" fillId="0" borderId="29" xfId="0" applyNumberFormat="1" applyFont="1" applyBorder="1" applyAlignment="1">
      <alignment horizontal="center" vertical="center"/>
    </xf>
    <xf numFmtId="0" fontId="31" fillId="0" borderId="27" xfId="0" applyFont="1" applyBorder="1" applyAlignment="1">
      <alignment horizontal="center" vertical="center"/>
    </xf>
    <xf numFmtId="164" fontId="31" fillId="0" borderId="27" xfId="0" applyNumberFormat="1" applyFont="1" applyBorder="1" applyAlignment="1">
      <alignment horizontal="center" vertical="center"/>
    </xf>
    <xf numFmtId="39" fontId="31" fillId="0" borderId="27" xfId="0" applyNumberFormat="1" applyFont="1" applyBorder="1" applyAlignment="1">
      <alignment horizontal="right" vertical="center"/>
    </xf>
    <xf numFmtId="39" fontId="31" fillId="0" borderId="29" xfId="0" applyNumberFormat="1" applyFont="1" applyBorder="1" applyAlignment="1">
      <alignment horizontal="right" vertical="center"/>
    </xf>
    <xf numFmtId="39" fontId="31" fillId="0" borderId="27" xfId="0" applyNumberFormat="1" applyFont="1" applyBorder="1" applyAlignment="1">
      <alignment horizontal="center" vertical="center"/>
    </xf>
    <xf numFmtId="0" fontId="32" fillId="0" borderId="28" xfId="0" applyFont="1" applyBorder="1" applyAlignment="1">
      <alignment vertical="center"/>
    </xf>
    <xf numFmtId="0" fontId="32" fillId="0" borderId="29" xfId="0" applyFont="1" applyBorder="1" applyAlignment="1">
      <alignment vertical="center"/>
    </xf>
    <xf numFmtId="0" fontId="32" fillId="0" borderId="29" xfId="0" applyFont="1" applyBorder="1" applyAlignment="1">
      <alignment horizontal="center" vertical="center"/>
    </xf>
    <xf numFmtId="0" fontId="32" fillId="0" borderId="30" xfId="0" applyFont="1" applyBorder="1" applyAlignment="1">
      <alignment horizontal="right" vertical="center"/>
    </xf>
    <xf numFmtId="43" fontId="32" fillId="0" borderId="27" xfId="0" applyNumberFormat="1" applyFont="1" applyBorder="1" applyAlignment="1">
      <alignment vertical="center"/>
    </xf>
    <xf numFmtId="39" fontId="31" fillId="0" borderId="44" xfId="0" applyNumberFormat="1" applyFont="1" applyBorder="1" applyAlignment="1">
      <alignment horizontal="right" vertical="center"/>
    </xf>
    <xf numFmtId="168" fontId="31" fillId="0" borderId="0" xfId="10" applyNumberFormat="1" applyFont="1" applyAlignment="1">
      <alignment vertical="center"/>
    </xf>
    <xf numFmtId="0" fontId="31" fillId="0" borderId="4" xfId="10" applyFont="1" applyBorder="1" applyAlignment="1">
      <alignment vertical="center"/>
    </xf>
    <xf numFmtId="168" fontId="31" fillId="0" borderId="4" xfId="10" applyNumberFormat="1" applyFont="1" applyBorder="1" applyAlignment="1">
      <alignment horizontal="center" vertical="center"/>
    </xf>
    <xf numFmtId="0" fontId="31" fillId="0" borderId="5" xfId="10" applyFont="1" applyBorder="1" applyAlignment="1">
      <alignment vertical="center"/>
    </xf>
    <xf numFmtId="0" fontId="31" fillId="0" borderId="6" xfId="10" applyFont="1" applyBorder="1" applyAlignment="1">
      <alignment vertical="center"/>
    </xf>
    <xf numFmtId="168" fontId="31" fillId="0" borderId="6" xfId="10" applyNumberFormat="1" applyFont="1" applyBorder="1" applyAlignment="1">
      <alignment horizontal="center" vertical="center"/>
    </xf>
    <xf numFmtId="0" fontId="46" fillId="0" borderId="4" xfId="10" applyFont="1" applyBorder="1" applyAlignment="1">
      <alignment vertical="center"/>
    </xf>
    <xf numFmtId="170" fontId="31" fillId="0" borderId="4" xfId="10" applyNumberFormat="1" applyFont="1" applyBorder="1" applyAlignment="1">
      <alignment horizontal="center" vertical="center"/>
    </xf>
    <xf numFmtId="41" fontId="31" fillId="0" borderId="4" xfId="10" applyNumberFormat="1" applyFont="1" applyBorder="1" applyAlignment="1">
      <alignment vertical="center"/>
    </xf>
    <xf numFmtId="168" fontId="31" fillId="0" borderId="0" xfId="10" applyNumberFormat="1" applyFont="1" applyAlignment="1">
      <alignment horizontal="center" vertical="center"/>
    </xf>
    <xf numFmtId="170" fontId="31" fillId="0" borderId="4" xfId="11" applyNumberFormat="1" applyFont="1" applyBorder="1" applyAlignment="1">
      <alignment horizontal="center" vertical="center"/>
    </xf>
    <xf numFmtId="0" fontId="31" fillId="0" borderId="40" xfId="0" applyFont="1" applyBorder="1" applyAlignment="1">
      <alignment vertical="center"/>
    </xf>
    <xf numFmtId="168" fontId="31" fillId="0" borderId="44" xfId="10" applyNumberFormat="1" applyFont="1" applyBorder="1" applyAlignment="1">
      <alignment horizontal="center" vertical="center"/>
    </xf>
    <xf numFmtId="0" fontId="31" fillId="0" borderId="27" xfId="11" applyFont="1" applyBorder="1" applyAlignment="1">
      <alignment vertical="center"/>
    </xf>
    <xf numFmtId="168" fontId="31" fillId="0" borderId="27" xfId="11" applyNumberFormat="1" applyFont="1" applyBorder="1" applyAlignment="1">
      <alignment horizontal="center" vertical="center"/>
    </xf>
    <xf numFmtId="0" fontId="31" fillId="0" borderId="28" xfId="11" applyFont="1" applyBorder="1" applyAlignment="1">
      <alignment vertical="center"/>
    </xf>
    <xf numFmtId="0" fontId="31" fillId="0" borderId="29" xfId="11" applyFont="1" applyBorder="1" applyAlignment="1">
      <alignment vertical="center"/>
    </xf>
    <xf numFmtId="168" fontId="31" fillId="0" borderId="29" xfId="11" applyNumberFormat="1" applyFont="1" applyBorder="1" applyAlignment="1">
      <alignment horizontal="center" vertical="center"/>
    </xf>
    <xf numFmtId="0" fontId="31" fillId="0" borderId="1" xfId="10" applyFont="1" applyBorder="1" applyAlignment="1">
      <alignment vertical="center"/>
    </xf>
    <xf numFmtId="168" fontId="31" fillId="0" borderId="1" xfId="10" applyNumberFormat="1" applyFont="1" applyBorder="1" applyAlignment="1">
      <alignment horizontal="center" vertical="center"/>
    </xf>
    <xf numFmtId="0" fontId="31" fillId="0" borderId="23" xfId="0" applyFont="1" applyBorder="1" applyAlignment="1">
      <alignment horizontal="center" vertical="center"/>
    </xf>
    <xf numFmtId="0" fontId="31" fillId="0" borderId="23" xfId="0" applyFont="1" applyBorder="1" applyAlignment="1">
      <alignment vertical="center"/>
    </xf>
    <xf numFmtId="0" fontId="31" fillId="0" borderId="28" xfId="10" applyFont="1" applyBorder="1" applyAlignment="1">
      <alignment vertical="center"/>
    </xf>
    <xf numFmtId="0" fontId="31" fillId="0" borderId="22" xfId="0" applyFont="1" applyBorder="1" applyAlignment="1">
      <alignment horizontal="center" vertical="center"/>
    </xf>
    <xf numFmtId="0" fontId="31" fillId="0" borderId="24" xfId="0" applyFont="1" applyBorder="1" applyAlignment="1">
      <alignment vertical="center"/>
    </xf>
    <xf numFmtId="49" fontId="31" fillId="0" borderId="4" xfId="10" applyNumberFormat="1" applyFont="1" applyBorder="1" applyAlignment="1">
      <alignment vertical="center"/>
    </xf>
    <xf numFmtId="171" fontId="31" fillId="0" borderId="4" xfId="10" applyNumberFormat="1" applyFont="1" applyBorder="1" applyAlignment="1">
      <alignment horizontal="center" vertical="center"/>
    </xf>
    <xf numFmtId="0" fontId="31" fillId="0" borderId="44" xfId="11" applyFont="1" applyBorder="1" applyAlignment="1">
      <alignment vertical="center"/>
    </xf>
    <xf numFmtId="168" fontId="31" fillId="0" borderId="44" xfId="11" applyNumberFormat="1" applyFont="1" applyBorder="1" applyAlignment="1">
      <alignment horizontal="center" vertical="center"/>
    </xf>
    <xf numFmtId="0" fontId="31" fillId="0" borderId="192" xfId="11" applyFont="1" applyBorder="1" applyAlignment="1">
      <alignment vertical="center"/>
    </xf>
    <xf numFmtId="0" fontId="31" fillId="0" borderId="184" xfId="11" applyFont="1" applyBorder="1" applyAlignment="1">
      <alignment vertical="center"/>
    </xf>
    <xf numFmtId="0" fontId="31" fillId="0" borderId="184" xfId="0" applyFont="1" applyBorder="1" applyAlignment="1">
      <alignment horizontal="center" vertical="center"/>
    </xf>
    <xf numFmtId="168" fontId="31" fillId="0" borderId="184" xfId="11" applyNumberFormat="1" applyFont="1" applyBorder="1" applyAlignment="1">
      <alignment horizontal="center" vertical="center"/>
    </xf>
    <xf numFmtId="168" fontId="31" fillId="0" borderId="4" xfId="10" applyNumberFormat="1" applyFont="1" applyBorder="1" applyAlignment="1">
      <alignment vertical="center"/>
    </xf>
    <xf numFmtId="168" fontId="31" fillId="0" borderId="6" xfId="10" applyNumberFormat="1" applyFont="1" applyBorder="1" applyAlignment="1">
      <alignment vertical="center"/>
    </xf>
    <xf numFmtId="164" fontId="31" fillId="0" borderId="6" xfId="0" applyNumberFormat="1" applyFont="1" applyBorder="1" applyAlignment="1">
      <alignment vertical="center"/>
    </xf>
    <xf numFmtId="164" fontId="31" fillId="0" borderId="4" xfId="0" applyNumberFormat="1" applyFont="1" applyBorder="1" applyAlignment="1">
      <alignment vertical="center"/>
    </xf>
    <xf numFmtId="0" fontId="31" fillId="0" borderId="191" xfId="0" applyFont="1" applyBorder="1" applyAlignment="1">
      <alignment horizontal="center" vertical="center"/>
    </xf>
    <xf numFmtId="168" fontId="31" fillId="0" borderId="191" xfId="10" applyNumberFormat="1" applyFont="1" applyBorder="1" applyAlignment="1">
      <alignment vertical="center"/>
    </xf>
    <xf numFmtId="0" fontId="31" fillId="0" borderId="187" xfId="0" applyFont="1" applyBorder="1" applyAlignment="1">
      <alignment horizontal="center" vertical="center"/>
    </xf>
    <xf numFmtId="0" fontId="31" fillId="0" borderId="189" xfId="0" applyFont="1" applyBorder="1" applyAlignment="1">
      <alignment horizontal="center" vertical="center"/>
    </xf>
    <xf numFmtId="0" fontId="31" fillId="0" borderId="187" xfId="0" applyFont="1" applyBorder="1" applyAlignment="1">
      <alignment vertical="center"/>
    </xf>
    <xf numFmtId="0" fontId="31" fillId="0" borderId="191" xfId="0" applyFont="1" applyBorder="1" applyAlignment="1">
      <alignment vertical="center"/>
    </xf>
    <xf numFmtId="164" fontId="31" fillId="0" borderId="191" xfId="0" applyNumberFormat="1" applyFont="1" applyBorder="1" applyAlignment="1">
      <alignment horizontal="center" vertical="center"/>
    </xf>
    <xf numFmtId="0" fontId="31" fillId="0" borderId="192" xfId="0" applyFont="1" applyBorder="1" applyAlignment="1">
      <alignment vertical="center"/>
    </xf>
    <xf numFmtId="0" fontId="31" fillId="0" borderId="184" xfId="0" applyFont="1" applyBorder="1" applyAlignment="1">
      <alignment vertical="center"/>
    </xf>
    <xf numFmtId="164" fontId="31" fillId="0" borderId="184" xfId="0" applyNumberFormat="1" applyFont="1" applyBorder="1" applyAlignment="1">
      <alignment horizontal="center" vertical="center"/>
    </xf>
    <xf numFmtId="39" fontId="31" fillId="0" borderId="191" xfId="0" applyNumberFormat="1" applyFont="1" applyBorder="1" applyAlignment="1">
      <alignment horizontal="right" vertical="center"/>
    </xf>
    <xf numFmtId="39" fontId="31" fillId="0" borderId="184" xfId="0" applyNumberFormat="1" applyFont="1" applyBorder="1" applyAlignment="1">
      <alignment horizontal="right" vertical="center"/>
    </xf>
    <xf numFmtId="43" fontId="32" fillId="0" borderId="191" xfId="0" applyNumberFormat="1" applyFont="1" applyBorder="1" applyAlignment="1">
      <alignment vertical="center"/>
    </xf>
    <xf numFmtId="39" fontId="31" fillId="0" borderId="191" xfId="0" applyNumberFormat="1" applyFont="1" applyBorder="1" applyAlignment="1">
      <alignment horizontal="center" vertical="center"/>
    </xf>
    <xf numFmtId="0" fontId="32" fillId="0" borderId="192" xfId="0" applyFont="1" applyBorder="1" applyAlignment="1">
      <alignment vertical="center"/>
    </xf>
    <xf numFmtId="0" fontId="32" fillId="0" borderId="184" xfId="0" applyFont="1" applyBorder="1" applyAlignment="1">
      <alignment vertical="center"/>
    </xf>
    <xf numFmtId="0" fontId="32" fillId="0" borderId="184" xfId="0" applyFont="1" applyBorder="1" applyAlignment="1">
      <alignment horizontal="center" vertical="center"/>
    </xf>
    <xf numFmtId="0" fontId="32" fillId="0" borderId="193" xfId="0" applyFont="1" applyBorder="1" applyAlignment="1">
      <alignment horizontal="right" vertical="center"/>
    </xf>
    <xf numFmtId="0" fontId="31" fillId="0" borderId="191" xfId="0" applyFont="1" applyBorder="1" applyAlignment="1">
      <alignment horizontal="left" vertical="center"/>
    </xf>
    <xf numFmtId="0" fontId="31" fillId="0" borderId="192" xfId="0" applyFont="1" applyBorder="1" applyAlignment="1">
      <alignment horizontal="left" vertical="center"/>
    </xf>
    <xf numFmtId="0" fontId="31" fillId="0" borderId="184" xfId="0" applyFont="1" applyBorder="1" applyAlignment="1">
      <alignment horizontal="left" vertical="center"/>
    </xf>
    <xf numFmtId="0" fontId="31" fillId="0" borderId="193" xfId="0" applyFont="1" applyBorder="1" applyAlignment="1">
      <alignment vertical="center"/>
    </xf>
    <xf numFmtId="1" fontId="31" fillId="0" borderId="0" xfId="11" applyNumberFormat="1" applyFont="1" applyAlignment="1">
      <alignment horizontal="left" vertical="center"/>
    </xf>
    <xf numFmtId="0" fontId="32" fillId="0" borderId="0" xfId="19" applyFont="1" applyAlignment="1">
      <alignment vertical="center"/>
    </xf>
    <xf numFmtId="0" fontId="51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45" fillId="0" borderId="0" xfId="0" applyFont="1" applyAlignment="1">
      <alignment horizontal="center" vertical="center"/>
    </xf>
    <xf numFmtId="0" fontId="31" fillId="0" borderId="0" xfId="19" applyFont="1" applyAlignment="1">
      <alignment vertical="center"/>
    </xf>
    <xf numFmtId="0" fontId="31" fillId="0" borderId="0" xfId="19" applyFont="1" applyAlignment="1">
      <alignment horizontal="center" vertical="center"/>
    </xf>
    <xf numFmtId="41" fontId="31" fillId="0" borderId="0" xfId="2" applyFont="1" applyFill="1" applyAlignment="1" applyProtection="1">
      <alignment horizontal="left" vertical="center"/>
    </xf>
    <xf numFmtId="1" fontId="31" fillId="0" borderId="0" xfId="2" applyNumberFormat="1" applyFont="1" applyFill="1" applyAlignment="1" applyProtection="1">
      <alignment horizontal="left" vertical="center"/>
    </xf>
    <xf numFmtId="0" fontId="31" fillId="0" borderId="0" xfId="19" applyFont="1" applyAlignment="1">
      <alignment horizontal="centerContinuous" vertical="center"/>
    </xf>
    <xf numFmtId="0" fontId="31" fillId="0" borderId="0" xfId="1" applyNumberFormat="1" applyFont="1" applyFill="1" applyBorder="1" applyAlignment="1" applyProtection="1">
      <alignment vertical="center"/>
    </xf>
    <xf numFmtId="166" fontId="32" fillId="0" borderId="0" xfId="2" applyNumberFormat="1" applyFont="1" applyFill="1" applyBorder="1" applyAlignment="1">
      <alignment horizontal="center" vertical="center"/>
    </xf>
    <xf numFmtId="166" fontId="31" fillId="0" borderId="0" xfId="2" applyNumberFormat="1" applyFont="1" applyFill="1" applyAlignment="1">
      <alignment vertical="center"/>
    </xf>
    <xf numFmtId="166" fontId="51" fillId="0" borderId="0" xfId="2" applyNumberFormat="1" applyFont="1" applyFill="1" applyAlignment="1">
      <alignment vertical="center"/>
    </xf>
    <xf numFmtId="166" fontId="52" fillId="0" borderId="0" xfId="2" applyNumberFormat="1" applyFont="1" applyFill="1" applyAlignment="1">
      <alignment vertical="center"/>
    </xf>
    <xf numFmtId="0" fontId="32" fillId="0" borderId="0" xfId="19" applyFont="1" applyAlignment="1">
      <alignment horizontal="center" vertical="center"/>
    </xf>
    <xf numFmtId="0" fontId="32" fillId="0" borderId="217" xfId="19" applyFont="1" applyBorder="1" applyAlignment="1">
      <alignment vertical="center"/>
    </xf>
    <xf numFmtId="0" fontId="32" fillId="0" borderId="233" xfId="19" applyFont="1" applyBorder="1" applyAlignment="1">
      <alignment vertical="center"/>
    </xf>
    <xf numFmtId="0" fontId="32" fillId="0" borderId="218" xfId="19" applyFont="1" applyBorder="1" applyAlignment="1">
      <alignment vertical="center"/>
    </xf>
    <xf numFmtId="0" fontId="32" fillId="0" borderId="234" xfId="19" applyFont="1" applyBorder="1" applyAlignment="1">
      <alignment vertical="center"/>
    </xf>
    <xf numFmtId="0" fontId="32" fillId="0" borderId="219" xfId="19" applyFont="1" applyBorder="1" applyAlignment="1">
      <alignment vertical="center"/>
    </xf>
    <xf numFmtId="0" fontId="32" fillId="0" borderId="220" xfId="19" applyFont="1" applyBorder="1" applyAlignment="1">
      <alignment vertical="center"/>
    </xf>
    <xf numFmtId="0" fontId="32" fillId="0" borderId="235" xfId="0" applyFont="1" applyBorder="1" applyAlignment="1">
      <alignment horizontal="center" vertical="center"/>
    </xf>
    <xf numFmtId="0" fontId="32" fillId="0" borderId="38" xfId="19" applyFont="1" applyBorder="1" applyAlignment="1">
      <alignment horizontal="center" vertical="center"/>
    </xf>
    <xf numFmtId="0" fontId="32" fillId="0" borderId="42" xfId="19" applyFont="1" applyBorder="1" applyAlignment="1">
      <alignment vertical="center"/>
    </xf>
    <xf numFmtId="0" fontId="32" fillId="0" borderId="39" xfId="0" applyFont="1" applyBorder="1" applyAlignment="1">
      <alignment horizontal="center" vertical="center"/>
    </xf>
    <xf numFmtId="0" fontId="32" fillId="0" borderId="42" xfId="19" applyFont="1" applyBorder="1" applyAlignment="1">
      <alignment horizontal="center" vertical="center"/>
    </xf>
    <xf numFmtId="0" fontId="32" fillId="0" borderId="222" xfId="0" applyFont="1" applyBorder="1" applyAlignment="1">
      <alignment horizontal="center" vertical="center"/>
    </xf>
    <xf numFmtId="166" fontId="53" fillId="0" borderId="0" xfId="2" applyNumberFormat="1" applyFont="1" applyFill="1" applyAlignment="1">
      <alignment vertical="center"/>
    </xf>
    <xf numFmtId="0" fontId="32" fillId="0" borderId="236" xfId="0" applyFont="1" applyBorder="1" applyAlignment="1">
      <alignment vertical="center"/>
    </xf>
    <xf numFmtId="0" fontId="32" fillId="0" borderId="59" xfId="19" applyFont="1" applyBorder="1" applyAlignment="1">
      <alignment vertical="center"/>
    </xf>
    <xf numFmtId="0" fontId="32" fillId="0" borderId="60" xfId="19" applyFont="1" applyBorder="1" applyAlignment="1">
      <alignment vertical="center"/>
    </xf>
    <xf numFmtId="0" fontId="32" fillId="0" borderId="61" xfId="19" applyFont="1" applyBorder="1" applyAlignment="1">
      <alignment vertical="center"/>
    </xf>
    <xf numFmtId="0" fontId="32" fillId="0" borderId="62" xfId="0" applyFont="1" applyBorder="1" applyAlignment="1">
      <alignment vertical="center"/>
    </xf>
    <xf numFmtId="0" fontId="32" fillId="0" borderId="237" xfId="0" applyFont="1" applyBorder="1" applyAlignment="1">
      <alignment vertical="center"/>
    </xf>
    <xf numFmtId="166" fontId="32" fillId="0" borderId="0" xfId="2" applyNumberFormat="1" applyFont="1" applyFill="1" applyAlignment="1">
      <alignment horizontal="right" vertical="center"/>
    </xf>
    <xf numFmtId="0" fontId="31" fillId="0" borderId="238" xfId="19" applyFont="1" applyBorder="1" applyAlignment="1">
      <alignment horizontal="center" vertical="center"/>
    </xf>
    <xf numFmtId="0" fontId="31" fillId="0" borderId="65" xfId="19" applyFont="1" applyBorder="1" applyAlignment="1">
      <alignment vertical="center"/>
    </xf>
    <xf numFmtId="0" fontId="31" fillId="0" borderId="66" xfId="19" applyFont="1" applyBorder="1" applyAlignment="1">
      <alignment vertical="center"/>
    </xf>
    <xf numFmtId="0" fontId="31" fillId="0" borderId="67" xfId="19" applyFont="1" applyBorder="1" applyAlignment="1">
      <alignment vertical="center"/>
    </xf>
    <xf numFmtId="0" fontId="31" fillId="0" borderId="65" xfId="0" applyFont="1" applyBorder="1" applyAlignment="1">
      <alignment vertical="center"/>
    </xf>
    <xf numFmtId="0" fontId="31" fillId="0" borderId="239" xfId="0" applyFont="1" applyBorder="1" applyAlignment="1">
      <alignment vertical="center"/>
    </xf>
    <xf numFmtId="0" fontId="54" fillId="0" borderId="0" xfId="0" applyFont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31" fillId="0" borderId="240" xfId="19" applyFont="1" applyBorder="1" applyAlignment="1">
      <alignment horizontal="center" vertical="center"/>
    </xf>
    <xf numFmtId="0" fontId="31" fillId="0" borderId="70" xfId="19" applyFont="1" applyBorder="1" applyAlignment="1">
      <alignment horizontal="centerContinuous" vertical="center"/>
    </xf>
    <xf numFmtId="41" fontId="31" fillId="0" borderId="71" xfId="2" applyFont="1" applyFill="1" applyBorder="1" applyAlignment="1" applyProtection="1">
      <alignment vertical="center"/>
    </xf>
    <xf numFmtId="0" fontId="31" fillId="0" borderId="71" xfId="19" applyFont="1" applyBorder="1" applyAlignment="1">
      <alignment vertical="center"/>
    </xf>
    <xf numFmtId="0" fontId="31" fillId="0" borderId="72" xfId="19" applyFont="1" applyBorder="1" applyAlignment="1">
      <alignment vertical="center"/>
    </xf>
    <xf numFmtId="0" fontId="31" fillId="0" borderId="70" xfId="19" applyFont="1" applyBorder="1" applyAlignment="1">
      <alignment horizontal="center" vertical="center"/>
    </xf>
    <xf numFmtId="0" fontId="31" fillId="0" borderId="70" xfId="0" applyFont="1" applyBorder="1" applyAlignment="1">
      <alignment vertical="center"/>
    </xf>
    <xf numFmtId="166" fontId="31" fillId="0" borderId="71" xfId="2" applyNumberFormat="1" applyFont="1" applyFill="1" applyBorder="1" applyAlignment="1">
      <alignment vertical="center"/>
    </xf>
    <xf numFmtId="0" fontId="31" fillId="0" borderId="241" xfId="0" applyFont="1" applyBorder="1" applyAlignment="1">
      <alignment vertical="center"/>
    </xf>
    <xf numFmtId="0" fontId="31" fillId="0" borderId="242" xfId="19" applyFont="1" applyBorder="1" applyAlignment="1">
      <alignment horizontal="center" vertical="center"/>
    </xf>
    <xf numFmtId="0" fontId="31" fillId="0" borderId="243" xfId="19" applyFont="1" applyBorder="1" applyAlignment="1">
      <alignment horizontal="centerContinuous" vertical="center"/>
    </xf>
    <xf numFmtId="41" fontId="31" fillId="0" borderId="244" xfId="2" applyFont="1" applyFill="1" applyBorder="1" applyAlignment="1" applyProtection="1">
      <alignment vertical="center"/>
    </xf>
    <xf numFmtId="0" fontId="31" fillId="0" borderId="244" xfId="19" applyFont="1" applyBorder="1" applyAlignment="1">
      <alignment vertical="center"/>
    </xf>
    <xf numFmtId="0" fontId="31" fillId="0" borderId="245" xfId="19" applyFont="1" applyBorder="1" applyAlignment="1">
      <alignment vertical="center"/>
    </xf>
    <xf numFmtId="0" fontId="31" fillId="0" borderId="243" xfId="19" applyFont="1" applyBorder="1" applyAlignment="1">
      <alignment horizontal="center" vertical="center"/>
    </xf>
    <xf numFmtId="0" fontId="31" fillId="0" borderId="243" xfId="0" applyFont="1" applyBorder="1" applyAlignment="1">
      <alignment vertical="center"/>
    </xf>
    <xf numFmtId="166" fontId="31" fillId="0" borderId="244" xfId="2" applyNumberFormat="1" applyFont="1" applyFill="1" applyBorder="1" applyAlignment="1">
      <alignment vertical="center"/>
    </xf>
    <xf numFmtId="0" fontId="31" fillId="0" borderId="246" xfId="0" applyFont="1" applyBorder="1" applyAlignment="1">
      <alignment vertical="center"/>
    </xf>
    <xf numFmtId="166" fontId="31" fillId="0" borderId="0" xfId="2" applyNumberFormat="1" applyFont="1" applyFill="1" applyBorder="1" applyAlignment="1">
      <alignment horizontal="center" vertical="center"/>
    </xf>
    <xf numFmtId="0" fontId="54" fillId="0" borderId="0" xfId="19" applyFont="1" applyAlignment="1">
      <alignment horizontal="center" vertical="center"/>
    </xf>
    <xf numFmtId="39" fontId="31" fillId="0" borderId="0" xfId="19" applyNumberFormat="1" applyFont="1" applyAlignment="1">
      <alignment vertical="center"/>
    </xf>
    <xf numFmtId="0" fontId="32" fillId="0" borderId="51" xfId="19" applyFont="1" applyBorder="1" applyAlignment="1">
      <alignment vertical="center"/>
    </xf>
    <xf numFmtId="0" fontId="32" fillId="0" borderId="52" xfId="19" applyFont="1" applyBorder="1" applyAlignment="1">
      <alignment vertical="center"/>
    </xf>
    <xf numFmtId="0" fontId="32" fillId="0" borderId="53" xfId="19" applyFont="1" applyBorder="1" applyAlignment="1">
      <alignment vertical="center"/>
    </xf>
    <xf numFmtId="0" fontId="32" fillId="0" borderId="54" xfId="19" applyFont="1" applyBorder="1" applyAlignment="1">
      <alignment vertical="center"/>
    </xf>
    <xf numFmtId="0" fontId="32" fillId="0" borderId="55" xfId="19" applyFont="1" applyBorder="1" applyAlignment="1">
      <alignment vertical="center"/>
    </xf>
    <xf numFmtId="0" fontId="32" fillId="0" borderId="54" xfId="0" applyFont="1" applyBorder="1" applyAlignment="1">
      <alignment vertical="center"/>
    </xf>
    <xf numFmtId="0" fontId="32" fillId="0" borderId="56" xfId="19" applyFont="1" applyBorder="1" applyAlignment="1">
      <alignment vertical="center"/>
    </xf>
    <xf numFmtId="0" fontId="32" fillId="0" borderId="18" xfId="0" applyFont="1" applyBorder="1" applyAlignment="1">
      <alignment horizontal="center" vertical="center"/>
    </xf>
    <xf numFmtId="0" fontId="32" fillId="0" borderId="57" xfId="0" applyFont="1" applyBorder="1" applyAlignment="1">
      <alignment horizontal="center" vertical="center"/>
    </xf>
    <xf numFmtId="0" fontId="32" fillId="0" borderId="58" xfId="0" applyFont="1" applyBorder="1" applyAlignment="1">
      <alignment vertical="center"/>
    </xf>
    <xf numFmtId="0" fontId="32" fillId="0" borderId="59" xfId="0" applyFont="1" applyBorder="1" applyAlignment="1">
      <alignment vertical="center"/>
    </xf>
    <xf numFmtId="0" fontId="32" fillId="0" borderId="61" xfId="0" applyFont="1" applyBorder="1" applyAlignment="1">
      <alignment vertical="center"/>
    </xf>
    <xf numFmtId="0" fontId="32" fillId="0" borderId="63" xfId="0" applyFont="1" applyBorder="1" applyAlignment="1">
      <alignment vertical="center"/>
    </xf>
    <xf numFmtId="0" fontId="31" fillId="0" borderId="64" xfId="19" applyFont="1" applyBorder="1" applyAlignment="1">
      <alignment horizontal="center" vertical="center"/>
    </xf>
    <xf numFmtId="0" fontId="31" fillId="0" borderId="68" xfId="0" applyFont="1" applyBorder="1" applyAlignment="1">
      <alignment vertical="center"/>
    </xf>
    <xf numFmtId="17" fontId="32" fillId="0" borderId="0" xfId="0" applyNumberFormat="1" applyFont="1" applyAlignment="1">
      <alignment horizontal="center" vertical="center"/>
    </xf>
    <xf numFmtId="0" fontId="31" fillId="0" borderId="69" xfId="19" applyFont="1" applyBorder="1" applyAlignment="1">
      <alignment horizontal="center" vertical="center"/>
    </xf>
    <xf numFmtId="0" fontId="31" fillId="0" borderId="71" xfId="1" applyNumberFormat="1" applyFont="1" applyFill="1" applyBorder="1" applyAlignment="1" applyProtection="1">
      <alignment vertical="center"/>
    </xf>
    <xf numFmtId="43" fontId="31" fillId="0" borderId="71" xfId="1" applyFont="1" applyFill="1" applyBorder="1" applyProtection="1"/>
    <xf numFmtId="0" fontId="31" fillId="0" borderId="79" xfId="19" applyFont="1" applyBorder="1" applyAlignment="1">
      <alignment horizontal="center" vertical="center"/>
    </xf>
    <xf numFmtId="39" fontId="31" fillId="0" borderId="70" xfId="19" applyNumberFormat="1" applyFont="1" applyBorder="1" applyAlignment="1">
      <alignment vertical="center"/>
    </xf>
    <xf numFmtId="0" fontId="31" fillId="0" borderId="73" xfId="0" applyFont="1" applyBorder="1" applyAlignment="1">
      <alignment vertical="center"/>
    </xf>
    <xf numFmtId="0" fontId="31" fillId="0" borderId="80" xfId="19" applyFont="1" applyBorder="1" applyAlignment="1">
      <alignment horizontal="centerContinuous" vertical="center"/>
    </xf>
    <xf numFmtId="0" fontId="31" fillId="0" borderId="71" xfId="1" applyNumberFormat="1" applyFont="1" applyFill="1" applyBorder="1" applyAlignment="1">
      <alignment vertical="center"/>
    </xf>
    <xf numFmtId="43" fontId="31" fillId="0" borderId="71" xfId="1" applyFont="1" applyFill="1" applyBorder="1"/>
    <xf numFmtId="39" fontId="31" fillId="0" borderId="80" xfId="19" applyNumberFormat="1" applyFont="1" applyBorder="1" applyAlignment="1">
      <alignment horizontal="center" vertical="center"/>
    </xf>
    <xf numFmtId="39" fontId="31" fillId="0" borderId="71" xfId="19" applyNumberFormat="1" applyFont="1" applyBorder="1" applyAlignment="1">
      <alignment vertical="center"/>
    </xf>
    <xf numFmtId="49" fontId="31" fillId="0" borderId="71" xfId="1" applyNumberFormat="1" applyFont="1" applyFill="1" applyBorder="1" applyAlignment="1">
      <alignment vertical="center"/>
    </xf>
    <xf numFmtId="39" fontId="31" fillId="0" borderId="70" xfId="19" applyNumberFormat="1" applyFont="1" applyBorder="1" applyAlignment="1">
      <alignment horizontal="center" vertical="center"/>
    </xf>
    <xf numFmtId="0" fontId="31" fillId="0" borderId="81" xfId="19" applyFont="1" applyBorder="1" applyAlignment="1">
      <alignment horizontal="center" vertical="center"/>
    </xf>
    <xf numFmtId="39" fontId="31" fillId="0" borderId="71" xfId="19" applyNumberFormat="1" applyFont="1" applyBorder="1" applyAlignment="1">
      <alignment horizontal="center" vertical="center"/>
    </xf>
    <xf numFmtId="0" fontId="31" fillId="0" borderId="70" xfId="19" applyFont="1" applyBorder="1" applyAlignment="1">
      <alignment vertical="center"/>
    </xf>
    <xf numFmtId="41" fontId="31" fillId="0" borderId="71" xfId="2" applyFont="1" applyFill="1" applyBorder="1"/>
    <xf numFmtId="0" fontId="31" fillId="0" borderId="71" xfId="0" applyFont="1" applyBorder="1" applyAlignment="1">
      <alignment vertical="center"/>
    </xf>
    <xf numFmtId="41" fontId="31" fillId="0" borderId="71" xfId="2" applyFont="1" applyFill="1" applyBorder="1" applyAlignment="1">
      <alignment horizontal="left"/>
    </xf>
    <xf numFmtId="41" fontId="31" fillId="0" borderId="71" xfId="2" applyFont="1" applyFill="1" applyBorder="1" applyProtection="1"/>
    <xf numFmtId="0" fontId="53" fillId="0" borderId="70" xfId="19" applyFont="1" applyBorder="1" applyAlignment="1">
      <alignment horizontal="centerContinuous" vertical="center"/>
    </xf>
    <xf numFmtId="0" fontId="53" fillId="0" borderId="71" xfId="19" applyFont="1" applyBorder="1" applyAlignment="1">
      <alignment vertical="center"/>
    </xf>
    <xf numFmtId="43" fontId="53" fillId="0" borderId="71" xfId="1" applyFont="1" applyFill="1" applyBorder="1" applyProtection="1"/>
    <xf numFmtId="39" fontId="53" fillId="0" borderId="70" xfId="19" applyNumberFormat="1" applyFont="1" applyBorder="1" applyAlignment="1">
      <alignment vertical="center"/>
    </xf>
    <xf numFmtId="0" fontId="31" fillId="0" borderId="71" xfId="0" applyFont="1" applyBorder="1"/>
    <xf numFmtId="0" fontId="51" fillId="0" borderId="73" xfId="0" applyFont="1" applyBorder="1" applyAlignment="1">
      <alignment vertical="center"/>
    </xf>
    <xf numFmtId="43" fontId="31" fillId="0" borderId="71" xfId="19" applyNumberFormat="1" applyFont="1" applyBorder="1" applyAlignment="1">
      <alignment vertical="center"/>
    </xf>
    <xf numFmtId="49" fontId="31" fillId="0" borderId="71" xfId="1" applyNumberFormat="1" applyFont="1" applyFill="1" applyBorder="1" applyAlignment="1" applyProtection="1">
      <alignment horizontal="left" vertical="center"/>
    </xf>
    <xf numFmtId="0" fontId="31" fillId="0" borderId="72" xfId="19" applyFont="1" applyBorder="1" applyAlignment="1">
      <alignment horizontal="center" vertical="center"/>
    </xf>
    <xf numFmtId="43" fontId="31" fillId="0" borderId="71" xfId="1" applyFont="1" applyFill="1" applyBorder="1" applyAlignment="1" applyProtection="1"/>
    <xf numFmtId="43" fontId="31" fillId="0" borderId="71" xfId="1" applyFont="1" applyFill="1" applyBorder="1" applyAlignment="1" applyProtection="1">
      <alignment horizontal="left"/>
    </xf>
    <xf numFmtId="43" fontId="31" fillId="0" borderId="72" xfId="1" applyFont="1" applyFill="1" applyBorder="1"/>
    <xf numFmtId="0" fontId="31" fillId="0" borderId="71" xfId="10" applyFont="1" applyBorder="1" applyAlignment="1">
      <alignment vertical="center"/>
    </xf>
    <xf numFmtId="0" fontId="31" fillId="0" borderId="70" xfId="20" applyFont="1" applyBorder="1" applyAlignment="1">
      <alignment horizontal="centerContinuous" vertical="center"/>
    </xf>
    <xf numFmtId="0" fontId="31" fillId="0" borderId="71" xfId="20" applyFont="1" applyBorder="1" applyAlignment="1">
      <alignment vertical="center"/>
    </xf>
    <xf numFmtId="0" fontId="31" fillId="0" borderId="70" xfId="20" applyFont="1" applyBorder="1" applyAlignment="1">
      <alignment horizontal="center" vertical="center"/>
    </xf>
    <xf numFmtId="39" fontId="31" fillId="0" borderId="70" xfId="20" applyNumberFormat="1" applyFont="1" applyBorder="1" applyAlignment="1">
      <alignment vertical="center"/>
    </xf>
    <xf numFmtId="0" fontId="31" fillId="0" borderId="74" xfId="19" applyFont="1" applyBorder="1" applyAlignment="1">
      <alignment horizontal="center" vertical="center"/>
    </xf>
    <xf numFmtId="0" fontId="31" fillId="0" borderId="75" xfId="19" applyFont="1" applyBorder="1" applyAlignment="1">
      <alignment horizontal="centerContinuous" vertical="center"/>
    </xf>
    <xf numFmtId="0" fontId="31" fillId="0" borderId="76" xfId="1" applyNumberFormat="1" applyFont="1" applyFill="1" applyBorder="1" applyAlignment="1" applyProtection="1">
      <alignment vertical="center"/>
    </xf>
    <xf numFmtId="0" fontId="31" fillId="0" borderId="76" xfId="10" applyFont="1" applyBorder="1" applyAlignment="1">
      <alignment vertical="center"/>
    </xf>
    <xf numFmtId="43" fontId="31" fillId="0" borderId="77" xfId="1" applyFont="1" applyFill="1" applyBorder="1"/>
    <xf numFmtId="0" fontId="31" fillId="0" borderId="82" xfId="19" applyFont="1" applyBorder="1" applyAlignment="1">
      <alignment horizontal="center" vertical="center"/>
    </xf>
    <xf numFmtId="0" fontId="31" fillId="0" borderId="76" xfId="0" applyFont="1" applyBorder="1" applyAlignment="1">
      <alignment vertical="center"/>
    </xf>
    <xf numFmtId="166" fontId="31" fillId="0" borderId="76" xfId="2" applyNumberFormat="1" applyFont="1" applyFill="1" applyBorder="1" applyAlignment="1">
      <alignment vertical="center"/>
    </xf>
    <xf numFmtId="0" fontId="31" fillId="0" borderId="78" xfId="0" applyFont="1" applyBorder="1" applyAlignment="1">
      <alignment vertical="center"/>
    </xf>
    <xf numFmtId="166" fontId="31" fillId="0" borderId="0" xfId="0" applyNumberFormat="1" applyFont="1" applyAlignment="1">
      <alignment vertical="center"/>
    </xf>
    <xf numFmtId="0" fontId="26" fillId="0" borderId="0" xfId="0" applyFont="1" applyAlignment="1">
      <alignment horizontal="center" vertical="center"/>
    </xf>
    <xf numFmtId="41" fontId="28" fillId="0" borderId="0" xfId="2" applyFont="1" applyFill="1"/>
    <xf numFmtId="1" fontId="28" fillId="0" borderId="0" xfId="2" applyNumberFormat="1" applyFont="1" applyFill="1" applyAlignment="1">
      <alignment horizontal="left"/>
    </xf>
    <xf numFmtId="41" fontId="29" fillId="0" borderId="100" xfId="2" applyFont="1" applyFill="1" applyBorder="1" applyAlignment="1">
      <alignment horizontal="center" vertical="center"/>
    </xf>
    <xf numFmtId="0" fontId="29" fillId="0" borderId="104" xfId="0" applyFont="1" applyBorder="1" applyAlignment="1">
      <alignment horizontal="center" vertical="center"/>
    </xf>
    <xf numFmtId="0" fontId="29" fillId="0" borderId="104" xfId="0" applyFont="1" applyBorder="1" applyAlignment="1">
      <alignment horizontal="center" vertical="center" wrapText="1"/>
    </xf>
    <xf numFmtId="0" fontId="29" fillId="0" borderId="105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41" fontId="29" fillId="0" borderId="0" xfId="2" applyFont="1" applyFill="1" applyAlignment="1">
      <alignment horizontal="center" vertical="center"/>
    </xf>
    <xf numFmtId="41" fontId="28" fillId="0" borderId="94" xfId="2" applyFont="1" applyFill="1" applyBorder="1" applyAlignment="1">
      <alignment horizontal="center" vertical="center"/>
    </xf>
    <xf numFmtId="0" fontId="28" fillId="0" borderId="95" xfId="0" applyFont="1" applyBorder="1" applyAlignment="1">
      <alignment vertical="center"/>
    </xf>
    <xf numFmtId="0" fontId="28" fillId="0" borderId="96" xfId="0" applyFont="1" applyBorder="1" applyAlignment="1">
      <alignment vertical="center"/>
    </xf>
    <xf numFmtId="0" fontId="28" fillId="0" borderId="97" xfId="0" applyFont="1" applyBorder="1" applyAlignment="1">
      <alignment vertical="center"/>
    </xf>
    <xf numFmtId="0" fontId="28" fillId="0" borderId="98" xfId="0" applyFont="1" applyBorder="1" applyAlignment="1">
      <alignment horizontal="center" vertical="center"/>
    </xf>
    <xf numFmtId="43" fontId="28" fillId="0" borderId="98" xfId="1" applyFont="1" applyFill="1" applyBorder="1" applyAlignment="1">
      <alignment horizontal="center" vertical="center"/>
    </xf>
    <xf numFmtId="0" fontId="28" fillId="0" borderId="99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41" fontId="28" fillId="0" borderId="0" xfId="2" applyFont="1" applyFill="1" applyAlignment="1">
      <alignment horizontal="center" vertical="center"/>
    </xf>
    <xf numFmtId="41" fontId="28" fillId="0" borderId="83" xfId="2" applyFont="1" applyFill="1" applyBorder="1" applyAlignment="1">
      <alignment horizontal="center" vertical="center"/>
    </xf>
    <xf numFmtId="0" fontId="28" fillId="0" borderId="84" xfId="0" applyFont="1" applyBorder="1" applyAlignment="1">
      <alignment horizontal="left" vertical="center"/>
    </xf>
    <xf numFmtId="0" fontId="28" fillId="0" borderId="85" xfId="0" applyFont="1" applyBorder="1" applyAlignment="1">
      <alignment horizontal="left" vertical="center"/>
    </xf>
    <xf numFmtId="0" fontId="28" fillId="0" borderId="86" xfId="0" applyFont="1" applyBorder="1" applyAlignment="1">
      <alignment horizontal="left" vertical="center"/>
    </xf>
    <xf numFmtId="0" fontId="28" fillId="0" borderId="87" xfId="0" applyFont="1" applyBorder="1" applyAlignment="1">
      <alignment horizontal="center" vertical="center"/>
    </xf>
    <xf numFmtId="43" fontId="28" fillId="0" borderId="87" xfId="1" applyFont="1" applyFill="1" applyBorder="1" applyAlignment="1">
      <alignment horizontal="center" vertical="center"/>
    </xf>
    <xf numFmtId="10" fontId="28" fillId="0" borderId="87" xfId="21" applyNumberFormat="1" applyFont="1" applyFill="1" applyBorder="1" applyAlignment="1">
      <alignment horizontal="center" vertical="center"/>
    </xf>
    <xf numFmtId="0" fontId="28" fillId="0" borderId="88" xfId="0" applyFont="1" applyBorder="1" applyAlignment="1">
      <alignment horizontal="center" vertical="center"/>
    </xf>
    <xf numFmtId="9" fontId="28" fillId="0" borderId="0" xfId="2" applyNumberFormat="1" applyFont="1" applyFill="1" applyAlignment="1">
      <alignment horizontal="center" vertical="center"/>
    </xf>
    <xf numFmtId="43" fontId="28" fillId="0" borderId="0" xfId="0" applyNumberFormat="1" applyFont="1" applyAlignment="1">
      <alignment horizontal="center" vertical="center"/>
    </xf>
    <xf numFmtId="43" fontId="28" fillId="0" borderId="0" xfId="1" applyFont="1" applyFill="1" applyAlignment="1">
      <alignment horizontal="center" vertical="center"/>
    </xf>
    <xf numFmtId="43" fontId="28" fillId="0" borderId="247" xfId="1" applyFont="1" applyFill="1" applyBorder="1" applyAlignment="1">
      <alignment horizontal="center" vertical="center"/>
    </xf>
    <xf numFmtId="0" fontId="28" fillId="0" borderId="247" xfId="0" applyFont="1" applyBorder="1" applyAlignment="1">
      <alignment horizontal="center" vertical="center"/>
    </xf>
    <xf numFmtId="10" fontId="28" fillId="0" borderId="247" xfId="21" applyNumberFormat="1" applyFont="1" applyFill="1" applyBorder="1" applyAlignment="1">
      <alignment horizontal="center" vertical="center"/>
    </xf>
    <xf numFmtId="43" fontId="28" fillId="0" borderId="205" xfId="1" applyFont="1" applyFill="1" applyBorder="1" applyAlignment="1">
      <alignment horizontal="center" vertical="center"/>
    </xf>
    <xf numFmtId="0" fontId="28" fillId="0" borderId="205" xfId="0" applyFont="1" applyBorder="1" applyAlignment="1">
      <alignment horizontal="center" vertical="center"/>
    </xf>
    <xf numFmtId="10" fontId="28" fillId="0" borderId="205" xfId="21" applyNumberFormat="1" applyFont="1" applyFill="1" applyBorder="1" applyAlignment="1">
      <alignment horizontal="center" vertical="center"/>
    </xf>
    <xf numFmtId="43" fontId="28" fillId="0" borderId="248" xfId="1" applyFont="1" applyFill="1" applyBorder="1" applyAlignment="1">
      <alignment horizontal="center" vertical="center"/>
    </xf>
    <xf numFmtId="0" fontId="28" fillId="0" borderId="248" xfId="0" applyFont="1" applyBorder="1" applyAlignment="1">
      <alignment horizontal="center" vertical="center"/>
    </xf>
    <xf numFmtId="10" fontId="28" fillId="0" borderId="248" xfId="21" applyNumberFormat="1" applyFont="1" applyFill="1" applyBorder="1" applyAlignment="1">
      <alignment horizontal="center" vertical="center"/>
    </xf>
    <xf numFmtId="41" fontId="57" fillId="0" borderId="83" xfId="2" applyFont="1" applyFill="1" applyBorder="1" applyAlignment="1">
      <alignment horizontal="center" vertical="center"/>
    </xf>
    <xf numFmtId="0" fontId="57" fillId="0" borderId="89" xfId="0" applyFont="1" applyBorder="1" applyAlignment="1">
      <alignment horizontal="left" vertical="center"/>
    </xf>
    <xf numFmtId="0" fontId="57" fillId="0" borderId="90" xfId="0" applyFont="1" applyBorder="1" applyAlignment="1">
      <alignment horizontal="left" vertical="center"/>
    </xf>
    <xf numFmtId="0" fontId="57" fillId="0" borderId="91" xfId="0" applyFont="1" applyBorder="1" applyAlignment="1">
      <alignment horizontal="left" vertical="center"/>
    </xf>
    <xf numFmtId="0" fontId="57" fillId="0" borderId="92" xfId="0" applyFont="1" applyBorder="1" applyAlignment="1">
      <alignment horizontal="center" vertical="center"/>
    </xf>
    <xf numFmtId="43" fontId="57" fillId="0" borderId="92" xfId="1" applyFont="1" applyFill="1" applyBorder="1" applyAlignment="1">
      <alignment horizontal="center" vertical="center"/>
    </xf>
    <xf numFmtId="10" fontId="57" fillId="0" borderId="92" xfId="21" applyNumberFormat="1" applyFont="1" applyFill="1" applyBorder="1" applyAlignment="1">
      <alignment horizontal="center" vertical="center"/>
    </xf>
    <xf numFmtId="0" fontId="57" fillId="0" borderId="93" xfId="0" applyFont="1" applyBorder="1" applyAlignment="1">
      <alignment horizontal="center" vertical="center"/>
    </xf>
    <xf numFmtId="0" fontId="57" fillId="0" borderId="0" xfId="0" applyFont="1" applyAlignment="1">
      <alignment horizontal="center" vertical="center"/>
    </xf>
    <xf numFmtId="9" fontId="57" fillId="0" borderId="0" xfId="2" applyNumberFormat="1" applyFont="1" applyFill="1" applyAlignment="1">
      <alignment horizontal="center" vertical="center"/>
    </xf>
    <xf numFmtId="43" fontId="57" fillId="0" borderId="0" xfId="0" applyNumberFormat="1" applyFont="1" applyAlignment="1">
      <alignment horizontal="center" vertical="center"/>
    </xf>
    <xf numFmtId="41" fontId="57" fillId="0" borderId="250" xfId="2" applyFont="1" applyFill="1" applyBorder="1" applyAlignment="1">
      <alignment horizontal="center" vertical="center"/>
    </xf>
    <xf numFmtId="0" fontId="58" fillId="0" borderId="0" xfId="11" applyFont="1" applyAlignment="1">
      <alignment vertical="center"/>
    </xf>
    <xf numFmtId="0" fontId="59" fillId="0" borderId="0" xfId="0" applyFont="1" applyAlignment="1">
      <alignment horizontal="center" vertical="center"/>
    </xf>
    <xf numFmtId="0" fontId="58" fillId="0" borderId="0" xfId="0" applyFont="1" applyAlignment="1">
      <alignment vertical="center"/>
    </xf>
    <xf numFmtId="0" fontId="60" fillId="0" borderId="0" xfId="11" applyFont="1" applyAlignment="1">
      <alignment horizontal="center" vertical="center"/>
    </xf>
    <xf numFmtId="169" fontId="58" fillId="0" borderId="0" xfId="11" applyNumberFormat="1" applyFont="1" applyAlignment="1">
      <alignment vertical="center"/>
    </xf>
    <xf numFmtId="0" fontId="58" fillId="0" borderId="0" xfId="0" applyFont="1" applyAlignment="1">
      <alignment horizontal="center" vertical="center"/>
    </xf>
    <xf numFmtId="0" fontId="58" fillId="0" borderId="0" xfId="0" applyFont="1"/>
    <xf numFmtId="169" fontId="58" fillId="0" borderId="0" xfId="10" applyNumberFormat="1" applyFont="1" applyAlignment="1">
      <alignment vertical="center"/>
    </xf>
    <xf numFmtId="0" fontId="61" fillId="0" borderId="0" xfId="0" applyFont="1" applyAlignment="1">
      <alignment horizontal="center" vertical="center"/>
    </xf>
    <xf numFmtId="0" fontId="23" fillId="0" borderId="0" xfId="11" applyFont="1" applyFill="1" applyAlignment="1">
      <alignment horizontal="center" vertical="center"/>
    </xf>
    <xf numFmtId="0" fontId="42" fillId="0" borderId="0" xfId="11" applyFont="1" applyAlignment="1">
      <alignment horizontal="center" vertical="center"/>
    </xf>
    <xf numFmtId="0" fontId="24" fillId="0" borderId="0" xfId="11" applyFont="1" applyAlignment="1">
      <alignment horizontal="center" vertical="center"/>
    </xf>
    <xf numFmtId="0" fontId="40" fillId="0" borderId="0" xfId="11" applyFont="1" applyAlignment="1">
      <alignment horizontal="center" vertical="center"/>
    </xf>
    <xf numFmtId="41" fontId="22" fillId="0" borderId="147" xfId="2" quotePrefix="1" applyFont="1" applyFill="1" applyBorder="1" applyAlignment="1" applyProtection="1">
      <alignment horizontal="center" vertical="center"/>
    </xf>
    <xf numFmtId="41" fontId="22" fillId="0" borderId="148" xfId="2" quotePrefix="1" applyFont="1" applyFill="1" applyBorder="1" applyAlignment="1" applyProtection="1">
      <alignment horizontal="center" vertical="center"/>
    </xf>
    <xf numFmtId="0" fontId="29" fillId="0" borderId="101" xfId="0" applyFont="1" applyBorder="1" applyAlignment="1">
      <alignment horizontal="center" vertical="center"/>
    </xf>
    <xf numFmtId="0" fontId="29" fillId="0" borderId="102" xfId="0" applyFont="1" applyBorder="1" applyAlignment="1">
      <alignment horizontal="center" vertical="center"/>
    </xf>
    <xf numFmtId="0" fontId="29" fillId="0" borderId="103" xfId="0" applyFont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31" fillId="0" borderId="15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31" fillId="0" borderId="31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31" fillId="0" borderId="36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25" xfId="0" applyFont="1" applyBorder="1" applyAlignment="1">
      <alignment horizontal="center" vertical="center"/>
    </xf>
    <xf numFmtId="0" fontId="31" fillId="0" borderId="26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21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0" fontId="31" fillId="0" borderId="23" xfId="0" applyFont="1" applyBorder="1" applyAlignment="1">
      <alignment horizontal="center" vertical="center"/>
    </xf>
    <xf numFmtId="164" fontId="31" fillId="0" borderId="1" xfId="0" applyNumberFormat="1" applyFont="1" applyBorder="1" applyAlignment="1">
      <alignment horizontal="center" vertical="center"/>
    </xf>
    <xf numFmtId="164" fontId="31" fillId="0" borderId="2" xfId="0" applyNumberFormat="1" applyFont="1" applyBorder="1" applyAlignment="1">
      <alignment horizontal="center" vertical="center"/>
    </xf>
    <xf numFmtId="164" fontId="31" fillId="0" borderId="3" xfId="0" applyNumberFormat="1" applyFont="1" applyBorder="1" applyAlignment="1">
      <alignment horizontal="center" vertical="center"/>
    </xf>
    <xf numFmtId="0" fontId="31" fillId="0" borderId="188" xfId="0" applyFont="1" applyBorder="1" applyAlignment="1">
      <alignment horizontal="center" vertical="center"/>
    </xf>
    <xf numFmtId="0" fontId="31" fillId="0" borderId="189" xfId="0" applyFont="1" applyBorder="1" applyAlignment="1">
      <alignment horizontal="center" vertical="center"/>
    </xf>
    <xf numFmtId="0" fontId="31" fillId="0" borderId="190" xfId="0" applyFont="1" applyBorder="1" applyAlignment="1">
      <alignment horizontal="center" vertical="center"/>
    </xf>
    <xf numFmtId="0" fontId="31" fillId="0" borderId="187" xfId="0" applyFont="1" applyBorder="1" applyAlignment="1">
      <alignment horizontal="center" vertical="center"/>
    </xf>
    <xf numFmtId="0" fontId="31" fillId="0" borderId="43" xfId="0" applyFont="1" applyBorder="1" applyAlignment="1">
      <alignment horizontal="center" vertical="center"/>
    </xf>
    <xf numFmtId="164" fontId="31" fillId="0" borderId="187" xfId="0" applyNumberFormat="1" applyFont="1" applyBorder="1" applyAlignment="1">
      <alignment horizontal="center" vertical="center"/>
    </xf>
    <xf numFmtId="164" fontId="31" fillId="0" borderId="43" xfId="0" applyNumberFormat="1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30" fillId="0" borderId="0" xfId="11" applyFont="1" applyAlignment="1">
      <alignment horizontal="center" vertical="center"/>
    </xf>
    <xf numFmtId="0" fontId="29" fillId="0" borderId="195" xfId="13" applyFont="1" applyBorder="1" applyAlignment="1">
      <alignment horizontal="center" vertical="center"/>
    </xf>
    <xf numFmtId="0" fontId="29" fillId="0" borderId="196" xfId="13" applyFont="1" applyBorder="1" applyAlignment="1">
      <alignment horizontal="center" vertical="center"/>
    </xf>
    <xf numFmtId="0" fontId="29" fillId="0" borderId="197" xfId="13" applyFont="1" applyBorder="1" applyAlignment="1">
      <alignment horizontal="center" vertical="center"/>
    </xf>
    <xf numFmtId="43" fontId="18" fillId="0" borderId="107" xfId="36" applyFont="1" applyFill="1" applyBorder="1" applyAlignment="1">
      <alignment horizontal="center" vertical="center" wrapText="1"/>
    </xf>
    <xf numFmtId="43" fontId="18" fillId="0" borderId="32" xfId="36" applyFont="1" applyFill="1" applyBorder="1" applyAlignment="1">
      <alignment horizontal="center" vertical="center" wrapText="1"/>
    </xf>
    <xf numFmtId="43" fontId="18" fillId="0" borderId="111" xfId="36" applyFont="1" applyFill="1" applyBorder="1" applyAlignment="1">
      <alignment horizontal="center" vertical="center"/>
    </xf>
    <xf numFmtId="43" fontId="18" fillId="0" borderId="35" xfId="36" applyFont="1" applyFill="1" applyBorder="1" applyAlignment="1">
      <alignment horizontal="center" vertical="center"/>
    </xf>
    <xf numFmtId="0" fontId="18" fillId="0" borderId="33" xfId="35" applyFont="1" applyBorder="1" applyAlignment="1">
      <alignment horizontal="center" vertical="center"/>
    </xf>
    <xf numFmtId="0" fontId="18" fillId="0" borderId="0" xfId="35" applyFont="1" applyAlignment="1">
      <alignment horizontal="center" vertical="center"/>
    </xf>
    <xf numFmtId="0" fontId="18" fillId="0" borderId="34" xfId="35" applyFont="1" applyBorder="1" applyAlignment="1">
      <alignment horizontal="center" vertical="center"/>
    </xf>
    <xf numFmtId="0" fontId="21" fillId="0" borderId="0" xfId="35" applyFont="1" applyAlignment="1">
      <alignment horizontal="center" vertical="center"/>
    </xf>
  </cellXfs>
  <cellStyles count="46">
    <cellStyle name="Comma" xfId="1" builtinId="3"/>
    <cellStyle name="Comma [0]" xfId="2" builtinId="6"/>
    <cellStyle name="Comma [0] 10" xfId="44"/>
    <cellStyle name="Comma [0] 2" xfId="3"/>
    <cellStyle name="Comma [0] 2 2" xfId="4"/>
    <cellStyle name="Comma [0] 2 3" xfId="31"/>
    <cellStyle name="Comma [0] 3" xfId="5"/>
    <cellStyle name="Comma [0] 4" xfId="22"/>
    <cellStyle name="Comma [0] 4 2" xfId="39"/>
    <cellStyle name="Comma 10 10" xfId="45"/>
    <cellStyle name="Comma 10 3" xfId="36"/>
    <cellStyle name="Comma 2" xfId="6"/>
    <cellStyle name="Comma 2 2" xfId="27"/>
    <cellStyle name="Comma 3" xfId="7"/>
    <cellStyle name="Comma 3 2" xfId="32"/>
    <cellStyle name="Comma 4" xfId="8"/>
    <cellStyle name="Comma 5" xfId="9"/>
    <cellStyle name="Comma 5 2" xfId="26"/>
    <cellStyle name="Comma 5 2 2" xfId="41"/>
    <cellStyle name="Comma 5 3" xfId="37"/>
    <cellStyle name="Comma 7" xfId="43"/>
    <cellStyle name="Normal" xfId="0" builtinId="0"/>
    <cellStyle name="Normal 2" xfId="10"/>
    <cellStyle name="Normal 2 2" xfId="11"/>
    <cellStyle name="Normal 2 2 2" xfId="12"/>
    <cellStyle name="Normal 2 2 4" xfId="30"/>
    <cellStyle name="Normal 2 3 2" xfId="35"/>
    <cellStyle name="Normal 2_RAB MIRI Langsir" xfId="13"/>
    <cellStyle name="Normal 3" xfId="14"/>
    <cellStyle name="Normal 3 2" xfId="23"/>
    <cellStyle name="Normal 3 3" xfId="33"/>
    <cellStyle name="Normal 4" xfId="15"/>
    <cellStyle name="Normal 4 2" xfId="16"/>
    <cellStyle name="Normal 5" xfId="17"/>
    <cellStyle name="Normal 5 2" xfId="25"/>
    <cellStyle name="Normal 5 2 2" xfId="40"/>
    <cellStyle name="Normal 6" xfId="18"/>
    <cellStyle name="Normal 6 2" xfId="38"/>
    <cellStyle name="Normal 7" xfId="42"/>
    <cellStyle name="Normal_Contoh RAB Jalan ~ AN-03  Wates - Toyan - Karang Nongko (RSSP - ADB) 2" xfId="29"/>
    <cellStyle name="Normal_ESKA03" xfId="19"/>
    <cellStyle name="Normal_ESKA03 2" xfId="20"/>
    <cellStyle name="Normal_RAB Embung Flotim Suja 2" xfId="28"/>
    <cellStyle name="Percent" xfId="21" builtinId="5"/>
    <cellStyle name="Percent 2" xfId="24"/>
    <cellStyle name="Percent 2 2" xfId="3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1400735</xdr:colOff>
      <xdr:row>40</xdr:row>
      <xdr:rowOff>112059</xdr:rowOff>
    </xdr:from>
    <xdr:to>
      <xdr:col>10</xdr:col>
      <xdr:colOff>948017</xdr:colOff>
      <xdr:row>52</xdr:row>
      <xdr:rowOff>64434</xdr:rowOff>
    </xdr:to>
    <xdr:pic>
      <xdr:nvPicPr>
        <xdr:cNvPr id="2" name="Picture 1" descr="camat-removebg-preview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02088" y="9435353"/>
          <a:ext cx="3290047" cy="25073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27215</xdr:colOff>
      <xdr:row>130</xdr:row>
      <xdr:rowOff>231322</xdr:rowOff>
    </xdr:from>
    <xdr:to>
      <xdr:col>11</xdr:col>
      <xdr:colOff>984196</xdr:colOff>
      <xdr:row>145</xdr:row>
      <xdr:rowOff>142875</xdr:rowOff>
    </xdr:to>
    <xdr:pic>
      <xdr:nvPicPr>
        <xdr:cNvPr id="2" name="Picture 1" descr="camat-removebg-preview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497786" y="35215286"/>
          <a:ext cx="3637589" cy="32180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628650</xdr:colOff>
      <xdr:row>139</xdr:row>
      <xdr:rowOff>85725</xdr:rowOff>
    </xdr:from>
    <xdr:to>
      <xdr:col>9</xdr:col>
      <xdr:colOff>452157</xdr:colOff>
      <xdr:row>151</xdr:row>
      <xdr:rowOff>180975</xdr:rowOff>
    </xdr:to>
    <xdr:pic>
      <xdr:nvPicPr>
        <xdr:cNvPr id="2" name="Picture 1" descr="camat-removebg-preview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34050" y="11953875"/>
          <a:ext cx="3166782" cy="2381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1997</xdr:row>
      <xdr:rowOff>0</xdr:rowOff>
    </xdr:from>
    <xdr:to>
      <xdr:col>13</xdr:col>
      <xdr:colOff>252132</xdr:colOff>
      <xdr:row>1997</xdr:row>
      <xdr:rowOff>0</xdr:rowOff>
    </xdr:to>
    <xdr:pic>
      <xdr:nvPicPr>
        <xdr:cNvPr id="2" name="Picture 1" descr="camat-removebg-preview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00850" y="155067000"/>
          <a:ext cx="323345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orage\extSdCard\WhatsApp\Media\WhatsApp%20Documents\AHSP%20Spec2010rev4%20EBH2016-2.xls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4-Basic Price"/>
      <sheetName val="DATA UMUM"/>
      <sheetName val="UMK"/>
      <sheetName val="Disclaimer-"/>
      <sheetName val="harga aspal pertamina"/>
      <sheetName val="Ketentuan"/>
      <sheetName val="Bhn Royalti"/>
      <sheetName val="Informasi"/>
      <sheetName val="BOQ perBPT"/>
      <sheetName val="HKra2016"/>
      <sheetName val="HSD Des2014"/>
      <sheetName val="swakelola"/>
      <sheetName val="Sheet2"/>
      <sheetName val="4-Analisa Quarry"/>
      <sheetName val="Agg Halus &amp; Kasar"/>
      <sheetName val="Agg A"/>
      <sheetName val="Agg B &amp; S"/>
      <sheetName val="Agg C"/>
      <sheetName val="HSD Alat"/>
      <sheetName val="5-ALAT(1)"/>
      <sheetName val="5-ALAT (2)"/>
      <sheetName val=".."/>
      <sheetName val="Rekap"/>
      <sheetName val="BOQ"/>
      <sheetName val="MANAGEMENT"/>
      <sheetName val="AnK"/>
      <sheetName val="D1a"/>
      <sheetName val="D1b"/>
      <sheetName val="D2"/>
      <sheetName val="D2 Uditch"/>
      <sheetName val="D2 (DS)"/>
      <sheetName val="D3"/>
      <sheetName val="D4"/>
      <sheetName val="D5"/>
      <sheetName val="D5 dinas 2015"/>
      <sheetName val="D6"/>
      <sheetName val="D6 ASBT"/>
      <sheetName val="D7(1)"/>
      <sheetName val="D7(2)"/>
      <sheetName val="D7(3)"/>
      <sheetName val="D8(1)"/>
      <sheetName val="D8(2)"/>
      <sheetName val="D9 (X)"/>
      <sheetName val="D10"/>
      <sheetName val="D10.1"/>
      <sheetName val="D10.2"/>
      <sheetName val="D10.3"/>
      <sheetName val="D10.4"/>
      <sheetName val="D10.5"/>
      <sheetName val="D Tambahan"/>
      <sheetName val="CPHMA-WC rz"/>
      <sheetName val="CPHMA-WC"/>
      <sheetName val="CPHMA-BC"/>
      <sheetName val="cphma-wc-non-zag"/>
      <sheetName val="cphma-bc-non-zag"/>
      <sheetName val="AC-WC Asb (H)"/>
      <sheetName val="Sheet1"/>
      <sheetName val="HPS 95 vs 10"/>
      <sheetName val="CTRB"/>
      <sheetName val="CMRFB"/>
      <sheetName val="D10 LS-Rutin (X)"/>
      <sheetName val="D10 Kuantitas ( X )"/>
      <sheetName val="x"/>
      <sheetName val="MAJOR (X)"/>
      <sheetName val="% (X)"/>
      <sheetName val="Peta Quarry (X)"/>
      <sheetName val="Mobilisasi (X)"/>
      <sheetName val="Perhitungan Mobilisasi Alat (X)"/>
      <sheetName val="Lalu Lintas (X)"/>
      <sheetName val="Jembatan Sementara (X)"/>
      <sheetName val="Analisa K3 (X)"/>
      <sheetName val="Rekap Basic Price (x)"/>
      <sheetName val="4-formulir harga bahan (X)"/>
      <sheetName val="Compatibility Report"/>
      <sheetName val="Sheet3"/>
      <sheetName val="H.Satuan"/>
      <sheetName val="BP"/>
      <sheetName val="INFO"/>
    </sheetNames>
    <sheetDataSet>
      <sheetData sheetId="0" refreshError="1">
        <row r="77">
          <cell r="G77">
            <v>210750</v>
          </cell>
        </row>
        <row r="99">
          <cell r="G99">
            <v>10250</v>
          </cell>
        </row>
        <row r="100">
          <cell r="G100">
            <v>9500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1:U342"/>
  <sheetViews>
    <sheetView view="pageBreakPreview" topLeftCell="A45" zoomScale="85" zoomScaleNormal="85" zoomScaleSheetLayoutView="85" workbookViewId="0">
      <selection activeCell="H47" sqref="H47"/>
    </sheetView>
  </sheetViews>
  <sheetFormatPr defaultColWidth="12.5703125" defaultRowHeight="16.5"/>
  <cols>
    <col min="1" max="1" width="6.85546875" style="391" customWidth="1"/>
    <col min="2" max="2" width="10.5703125" style="143" customWidth="1"/>
    <col min="3" max="3" width="2.85546875" style="132" customWidth="1"/>
    <col min="4" max="4" width="24.7109375" style="132" customWidth="1"/>
    <col min="5" max="5" width="3.7109375" style="132" customWidth="1"/>
    <col min="6" max="6" width="12.7109375" style="132" customWidth="1"/>
    <col min="7" max="7" width="33" style="132" customWidth="1"/>
    <col min="8" max="8" width="23.140625" style="132" customWidth="1"/>
    <col min="9" max="9" width="14.42578125" style="132" hidden="1" customWidth="1"/>
    <col min="10" max="10" width="23.140625" style="132" hidden="1" customWidth="1"/>
    <col min="11" max="11" width="16.28515625" style="132" customWidth="1"/>
    <col min="12" max="12" width="19" style="133" customWidth="1"/>
    <col min="13" max="13" width="14.42578125" style="132" customWidth="1"/>
    <col min="14" max="14" width="21.42578125" style="132" customWidth="1"/>
    <col min="15" max="15" width="21.5703125" style="132" customWidth="1"/>
    <col min="16" max="16" width="18.42578125" style="132" customWidth="1"/>
    <col min="17" max="17" width="12.5703125" style="132"/>
    <col min="18" max="18" width="18" style="146" bestFit="1" customWidth="1"/>
    <col min="19" max="19" width="1.7109375" style="146" customWidth="1"/>
    <col min="20" max="20" width="19.42578125" style="146" bestFit="1" customWidth="1"/>
    <col min="21" max="21" width="21.28515625" style="146" bestFit="1" customWidth="1"/>
    <col min="22" max="16384" width="12.5703125" style="132"/>
  </cols>
  <sheetData>
    <row r="11" spans="1:21" ht="20.25">
      <c r="A11" s="349"/>
      <c r="B11" s="956" t="s">
        <v>431</v>
      </c>
      <c r="C11" s="956"/>
      <c r="D11" s="956"/>
      <c r="E11" s="956"/>
      <c r="F11" s="956"/>
      <c r="G11" s="956"/>
      <c r="H11" s="956"/>
      <c r="I11" s="956"/>
      <c r="J11" s="956"/>
      <c r="K11" s="956"/>
      <c r="L11" s="350"/>
      <c r="R11" s="132"/>
      <c r="S11" s="132"/>
      <c r="T11" s="132"/>
      <c r="U11" s="132"/>
    </row>
    <row r="12" spans="1:21" ht="20.25">
      <c r="A12" s="349"/>
      <c r="B12" s="956" t="str">
        <f>RAB!B11</f>
        <v>HARGA PERKIRAAN SENDIRI (HPS)</v>
      </c>
      <c r="C12" s="956"/>
      <c r="D12" s="956"/>
      <c r="E12" s="956"/>
      <c r="F12" s="956"/>
      <c r="G12" s="956"/>
      <c r="H12" s="956"/>
      <c r="I12" s="956"/>
      <c r="J12" s="956"/>
      <c r="K12" s="956"/>
      <c r="L12" s="350"/>
      <c r="R12" s="132"/>
      <c r="S12" s="132"/>
      <c r="T12" s="132"/>
      <c r="U12" s="132"/>
    </row>
    <row r="13" spans="1:21">
      <c r="A13" s="349"/>
      <c r="B13" s="957"/>
      <c r="C13" s="957"/>
      <c r="D13" s="957"/>
      <c r="E13" s="957"/>
      <c r="F13" s="957"/>
      <c r="G13" s="957"/>
      <c r="H13" s="957"/>
      <c r="I13" s="957"/>
      <c r="J13" s="957"/>
      <c r="K13" s="957"/>
      <c r="L13" s="350"/>
      <c r="R13" s="132"/>
      <c r="S13" s="132"/>
      <c r="T13" s="132"/>
      <c r="U13" s="132"/>
    </row>
    <row r="14" spans="1:21">
      <c r="A14" s="351"/>
      <c r="D14" s="132" t="str">
        <f>RAB!D13</f>
        <v>PEKERJAAN</v>
      </c>
      <c r="E14" s="132" t="s">
        <v>103</v>
      </c>
      <c r="F14" s="352" t="str">
        <f>RAB!F13</f>
        <v>BELANJA MODAL BANGUNAN TEMPAT IBADAH</v>
      </c>
      <c r="K14" s="144"/>
      <c r="R14" s="132"/>
      <c r="S14" s="132"/>
      <c r="T14" s="132"/>
      <c r="U14" s="132"/>
    </row>
    <row r="15" spans="1:21">
      <c r="A15" s="351"/>
      <c r="D15" s="132" t="str">
        <f>RAB!D14</f>
        <v>L O K A S I</v>
      </c>
      <c r="E15" s="132" t="s">
        <v>103</v>
      </c>
      <c r="F15" s="352" t="str">
        <f>RAB!F14</f>
        <v>KECAMATAN JATEN</v>
      </c>
      <c r="R15" s="132"/>
      <c r="S15" s="132"/>
      <c r="T15" s="132"/>
      <c r="U15" s="132"/>
    </row>
    <row r="16" spans="1:21">
      <c r="A16" s="351"/>
      <c r="D16" s="132" t="str">
        <f>RAB!D15</f>
        <v>KABUPATEN</v>
      </c>
      <c r="E16" s="132" t="s">
        <v>103</v>
      </c>
      <c r="F16" s="352" t="str">
        <f>RAB!F15</f>
        <v>KARANGANYAR</v>
      </c>
      <c r="H16" s="144"/>
      <c r="I16" s="144"/>
      <c r="J16" s="144"/>
      <c r="R16" s="132"/>
      <c r="S16" s="132"/>
      <c r="T16" s="132"/>
      <c r="U16" s="132"/>
    </row>
    <row r="17" spans="1:21">
      <c r="A17" s="351"/>
      <c r="D17" s="132" t="str">
        <f>RAB!D16</f>
        <v>SUMBER DANA</v>
      </c>
      <c r="E17" s="132" t="s">
        <v>103</v>
      </c>
      <c r="F17" s="352" t="str">
        <f>RAB!F16</f>
        <v>DANA ALOKASI UMUM (DAU)</v>
      </c>
      <c r="H17" s="144"/>
      <c r="I17" s="144"/>
      <c r="J17" s="144"/>
      <c r="R17" s="132"/>
      <c r="S17" s="132"/>
      <c r="T17" s="132"/>
      <c r="U17" s="132"/>
    </row>
    <row r="18" spans="1:21">
      <c r="A18" s="351"/>
      <c r="D18" s="132" t="str">
        <f>RAB!D17</f>
        <v>TAHUN ANGGARAN</v>
      </c>
      <c r="E18" s="132" t="s">
        <v>103</v>
      </c>
      <c r="F18" s="401">
        <f>RAB!F17</f>
        <v>2025</v>
      </c>
      <c r="H18" s="144"/>
      <c r="I18" s="144"/>
      <c r="J18" s="144"/>
      <c r="R18" s="132"/>
      <c r="S18" s="132"/>
      <c r="T18" s="132"/>
      <c r="U18" s="132"/>
    </row>
    <row r="19" spans="1:21" ht="17.25" thickBot="1">
      <c r="A19" s="351"/>
      <c r="R19" s="132"/>
      <c r="S19" s="132"/>
      <c r="T19" s="132"/>
      <c r="U19" s="132"/>
    </row>
    <row r="20" spans="1:21" ht="20.100000000000001" customHeight="1">
      <c r="A20" s="351"/>
      <c r="B20" s="441"/>
      <c r="C20" s="442"/>
      <c r="D20" s="443"/>
      <c r="E20" s="443"/>
      <c r="F20" s="443"/>
      <c r="G20" s="443"/>
      <c r="H20" s="444"/>
      <c r="I20" s="444"/>
      <c r="J20" s="444"/>
      <c r="K20" s="445"/>
      <c r="L20" s="352"/>
      <c r="R20" s="132"/>
      <c r="S20" s="132"/>
      <c r="T20" s="132"/>
      <c r="U20" s="132"/>
    </row>
    <row r="21" spans="1:21" ht="20.100000000000001" customHeight="1">
      <c r="A21" s="351"/>
      <c r="B21" s="446" t="s">
        <v>120</v>
      </c>
      <c r="C21" s="353"/>
      <c r="D21" s="136"/>
      <c r="E21" s="136" t="s">
        <v>263</v>
      </c>
      <c r="F21" s="136"/>
      <c r="G21" s="136"/>
      <c r="H21" s="163" t="s">
        <v>42</v>
      </c>
      <c r="I21" s="163" t="s">
        <v>420</v>
      </c>
      <c r="J21" s="163" t="s">
        <v>428</v>
      </c>
      <c r="K21" s="447" t="s">
        <v>145</v>
      </c>
      <c r="L21" s="352"/>
      <c r="R21" s="132"/>
      <c r="S21" s="132"/>
      <c r="T21" s="132"/>
      <c r="U21" s="132"/>
    </row>
    <row r="22" spans="1:21" ht="20.100000000000001" customHeight="1">
      <c r="A22" s="351"/>
      <c r="B22" s="446"/>
      <c r="C22" s="353"/>
      <c r="D22" s="353"/>
      <c r="E22" s="353"/>
      <c r="F22" s="353"/>
      <c r="G22" s="353"/>
      <c r="H22" s="163"/>
      <c r="I22" s="163"/>
      <c r="J22" s="163" t="s">
        <v>420</v>
      </c>
      <c r="K22" s="448"/>
      <c r="L22" s="352"/>
      <c r="R22" s="132"/>
      <c r="S22" s="132"/>
      <c r="T22" s="132"/>
      <c r="U22" s="132"/>
    </row>
    <row r="23" spans="1:21" ht="20.100000000000001" customHeight="1" thickBot="1">
      <c r="A23" s="351"/>
      <c r="B23" s="449"/>
      <c r="C23" s="450"/>
      <c r="D23" s="450"/>
      <c r="E23" s="450"/>
      <c r="F23" s="450"/>
      <c r="G23" s="450"/>
      <c r="H23" s="451" t="s">
        <v>109</v>
      </c>
      <c r="I23" s="451" t="s">
        <v>522</v>
      </c>
      <c r="J23" s="451" t="str">
        <f>H23</f>
        <v>Rp.</v>
      </c>
      <c r="K23" s="452"/>
      <c r="L23" s="352"/>
      <c r="R23" s="132"/>
      <c r="S23" s="132"/>
      <c r="T23" s="132"/>
      <c r="U23" s="132"/>
    </row>
    <row r="24" spans="1:21" s="136" customFormat="1" ht="20.100000000000001" customHeight="1">
      <c r="A24" s="356"/>
      <c r="B24" s="563"/>
      <c r="D24" s="564" t="s">
        <v>593</v>
      </c>
      <c r="E24" s="564"/>
      <c r="F24" s="564"/>
      <c r="G24" s="565"/>
      <c r="H24" s="566"/>
      <c r="I24" s="567"/>
      <c r="J24" s="568"/>
      <c r="K24" s="569"/>
      <c r="L24" s="352"/>
      <c r="M24" s="357"/>
      <c r="N24" s="358"/>
      <c r="O24" s="251"/>
      <c r="P24" s="202"/>
    </row>
    <row r="25" spans="1:21" s="136" customFormat="1" ht="20.100000000000001" customHeight="1">
      <c r="A25" s="356"/>
      <c r="B25" s="570" t="str">
        <f>RAB!B25</f>
        <v>I</v>
      </c>
      <c r="C25" s="468"/>
      <c r="D25" s="571" t="str">
        <f>RAB!D25</f>
        <v>PEKERJAAN PERSIAPAN</v>
      </c>
      <c r="E25" s="436"/>
      <c r="F25" s="436"/>
      <c r="G25" s="437"/>
      <c r="H25" s="237">
        <f>RAB!L30</f>
        <v>1703900.8</v>
      </c>
      <c r="I25" s="438">
        <f>RAB!M30</f>
        <v>0.63685201254588097</v>
      </c>
      <c r="J25" s="439">
        <f>RAB!N30</f>
        <v>1085132.6536585367</v>
      </c>
      <c r="K25" s="440"/>
      <c r="L25" s="352"/>
      <c r="M25" s="357"/>
      <c r="N25" s="358"/>
      <c r="O25" s="251"/>
      <c r="P25" s="202"/>
    </row>
    <row r="26" spans="1:21" s="136" customFormat="1" ht="20.100000000000001" customHeight="1">
      <c r="A26" s="356"/>
      <c r="B26" s="189" t="str">
        <f>RAB!B31</f>
        <v>II</v>
      </c>
      <c r="C26" s="190"/>
      <c r="D26" s="191" t="str">
        <f>RAB!D31</f>
        <v>PEKERJAAN TANAH</v>
      </c>
      <c r="E26" s="247"/>
      <c r="F26" s="247"/>
      <c r="G26" s="402"/>
      <c r="H26" s="197">
        <f>RAB!L37</f>
        <v>2576973.9900000002</v>
      </c>
      <c r="I26" s="403">
        <f>RAB!M37</f>
        <v>1</v>
      </c>
      <c r="J26" s="404">
        <f>RAB!N37</f>
        <v>2576973.9900000002</v>
      </c>
      <c r="K26" s="405"/>
      <c r="L26" s="352"/>
      <c r="M26" s="357"/>
      <c r="N26" s="358"/>
      <c r="O26" s="251"/>
      <c r="P26" s="202"/>
    </row>
    <row r="27" spans="1:21" s="136" customFormat="1" ht="20.100000000000001" customHeight="1">
      <c r="A27" s="356"/>
      <c r="B27" s="189" t="str">
        <f>RAB!B38</f>
        <v>III</v>
      </c>
      <c r="C27" s="190"/>
      <c r="D27" s="191" t="str">
        <f>RAB!D38</f>
        <v>PEKERJAAN PASANGAN</v>
      </c>
      <c r="E27" s="247"/>
      <c r="F27" s="247"/>
      <c r="G27" s="402"/>
      <c r="H27" s="197">
        <f>RAB!L50</f>
        <v>77023849.919999987</v>
      </c>
      <c r="I27" s="403">
        <f>RAB!M50</f>
        <v>0.91544030171360014</v>
      </c>
      <c r="J27" s="404">
        <f>RAB!N50</f>
        <v>70510736.409907848</v>
      </c>
      <c r="K27" s="405"/>
      <c r="L27" s="352"/>
      <c r="M27" s="357"/>
      <c r="N27" s="358"/>
      <c r="O27" s="251"/>
      <c r="P27" s="202"/>
    </row>
    <row r="28" spans="1:21" s="136" customFormat="1" ht="20.100000000000001" customHeight="1">
      <c r="A28" s="356"/>
      <c r="B28" s="189" t="str">
        <f>RAB!B51</f>
        <v>IV</v>
      </c>
      <c r="C28" s="190"/>
      <c r="D28" s="191" t="str">
        <f>RAB!D51</f>
        <v>PEKERJAAN BETON</v>
      </c>
      <c r="E28" s="247"/>
      <c r="F28" s="247"/>
      <c r="G28" s="402"/>
      <c r="H28" s="197">
        <f>RAB!L75</f>
        <v>26533816.600000001</v>
      </c>
      <c r="I28" s="403">
        <f>RAB!M75</f>
        <v>0.60956410724786037</v>
      </c>
      <c r="J28" s="404">
        <f>RAB!N75</f>
        <v>16174062.22765746</v>
      </c>
      <c r="K28" s="405"/>
      <c r="L28" s="352"/>
      <c r="M28" s="357"/>
      <c r="N28" s="358"/>
      <c r="O28" s="251"/>
      <c r="P28" s="202"/>
    </row>
    <row r="29" spans="1:21" s="136" customFormat="1" ht="20.100000000000001" customHeight="1">
      <c r="A29" s="356"/>
      <c r="B29" s="189" t="str">
        <f>RAB!B76</f>
        <v>V</v>
      </c>
      <c r="C29" s="190"/>
      <c r="D29" s="191" t="str">
        <f>RAB!D76</f>
        <v>PEKERJAAN ELEKTRIKAL</v>
      </c>
      <c r="E29" s="247"/>
      <c r="F29" s="247"/>
      <c r="G29" s="402"/>
      <c r="H29" s="197">
        <f>RAB!L90</f>
        <v>5034313.5999999996</v>
      </c>
      <c r="I29" s="403">
        <f>RAB!M90</f>
        <v>0.43560409109198128</v>
      </c>
      <c r="J29" s="404">
        <f>RAB!N90</f>
        <v>2192967.6</v>
      </c>
      <c r="K29" s="405"/>
      <c r="L29" s="352"/>
      <c r="M29" s="357"/>
      <c r="N29" s="358"/>
      <c r="O29" s="251"/>
      <c r="P29" s="202"/>
    </row>
    <row r="30" spans="1:21" s="136" customFormat="1" ht="20.100000000000001" customHeight="1">
      <c r="A30" s="356"/>
      <c r="B30" s="189" t="str">
        <f>RAB!B91</f>
        <v>VI</v>
      </c>
      <c r="C30" s="190"/>
      <c r="D30" s="191" t="str">
        <f>RAB!D91</f>
        <v>PEKERJAAN PINTU DAN JENDELA</v>
      </c>
      <c r="E30" s="247"/>
      <c r="F30" s="247"/>
      <c r="G30" s="402"/>
      <c r="H30" s="197">
        <f>RAB!L98</f>
        <v>12318671.720000001</v>
      </c>
      <c r="I30" s="403">
        <f>RAB!M98</f>
        <v>0.41700913610493939</v>
      </c>
      <c r="J30" s="404">
        <f>RAB!N108</f>
        <v>5182955.5283199996</v>
      </c>
      <c r="K30" s="405"/>
      <c r="L30" s="352"/>
      <c r="M30" s="357"/>
      <c r="N30" s="358"/>
      <c r="O30" s="251"/>
      <c r="P30" s="202"/>
    </row>
    <row r="31" spans="1:21" s="136" customFormat="1" ht="20.100000000000001" customHeight="1">
      <c r="A31" s="356"/>
      <c r="B31" s="203" t="str">
        <f>RAB!B99</f>
        <v>VII</v>
      </c>
      <c r="C31" s="204"/>
      <c r="D31" s="205" t="str">
        <f>RAB!D99</f>
        <v>PEKERJAAN AIR BERSIH DAN AIR KOTOR</v>
      </c>
      <c r="E31" s="431"/>
      <c r="F31" s="431"/>
      <c r="G31" s="432"/>
      <c r="H31" s="210">
        <f>RAB!L108</f>
        <v>9071247.6799999997</v>
      </c>
      <c r="I31" s="433">
        <f>RAB!M108</f>
        <v>0.57136082170341529</v>
      </c>
      <c r="J31" s="434">
        <f>RAB!N108</f>
        <v>5182955.5283199996</v>
      </c>
      <c r="K31" s="435"/>
      <c r="L31" s="352"/>
      <c r="M31" s="357"/>
      <c r="N31" s="358"/>
      <c r="O31" s="251"/>
      <c r="P31" s="202"/>
    </row>
    <row r="32" spans="1:21" s="136" customFormat="1" ht="20.100000000000001" customHeight="1">
      <c r="A32" s="356"/>
      <c r="B32" s="203" t="str">
        <f>RAB!B109</f>
        <v>VIII</v>
      </c>
      <c r="C32" s="204"/>
      <c r="D32" s="205" t="str">
        <f>RAB!D109</f>
        <v>PEKERJAAN PLAFON</v>
      </c>
      <c r="E32" s="431"/>
      <c r="F32" s="431"/>
      <c r="G32" s="432"/>
      <c r="H32" s="210">
        <f>RAB!L114</f>
        <v>7539441.8399999999</v>
      </c>
      <c r="I32" s="433">
        <f>RAB!M109</f>
        <v>0</v>
      </c>
      <c r="J32" s="434">
        <f>RAB!N109</f>
        <v>0</v>
      </c>
      <c r="K32" s="435"/>
      <c r="L32" s="352"/>
      <c r="M32" s="357"/>
      <c r="N32" s="358"/>
      <c r="O32" s="251"/>
      <c r="P32" s="202"/>
    </row>
    <row r="33" spans="1:21" s="136" customFormat="1" ht="20.100000000000001" customHeight="1">
      <c r="A33" s="356"/>
      <c r="B33" s="203" t="str">
        <f>RAB!B115</f>
        <v>IX</v>
      </c>
      <c r="C33" s="204"/>
      <c r="D33" s="205" t="str">
        <f>RAB!D115</f>
        <v>PEKERJAAN ATAP</v>
      </c>
      <c r="E33" s="431"/>
      <c r="F33" s="431"/>
      <c r="G33" s="432"/>
      <c r="H33" s="210">
        <f>RAB!L121</f>
        <v>15429013.34</v>
      </c>
      <c r="I33" s="433">
        <f>RAB!M121</f>
        <v>0.34434696102403761</v>
      </c>
      <c r="J33" s="434">
        <f>RAB!N121</f>
        <v>5312933.8552283365</v>
      </c>
      <c r="K33" s="435"/>
      <c r="L33" s="352"/>
      <c r="M33" s="357"/>
      <c r="N33" s="358"/>
      <c r="O33" s="251"/>
      <c r="P33" s="202"/>
    </row>
    <row r="34" spans="1:21" s="136" customFormat="1" ht="20.100000000000001" customHeight="1">
      <c r="A34" s="356"/>
      <c r="B34" s="203" t="str">
        <f>RAB!B122</f>
        <v>X</v>
      </c>
      <c r="C34" s="204"/>
      <c r="D34" s="205" t="str">
        <f>RAB!D122</f>
        <v>PEKERJAAN PENGECATAN DAN LAIN-LAIN</v>
      </c>
      <c r="E34" s="431"/>
      <c r="F34" s="431"/>
      <c r="G34" s="432"/>
      <c r="H34" s="210">
        <f>RAB!L127</f>
        <v>10266019.609999999</v>
      </c>
      <c r="I34" s="433">
        <f>RAB!M127</f>
        <v>0.47272628021442153</v>
      </c>
      <c r="J34" s="434">
        <f>RAB!N127</f>
        <v>4853017.2628436061</v>
      </c>
      <c r="K34" s="435"/>
      <c r="L34" s="352"/>
      <c r="M34" s="357"/>
      <c r="N34" s="358"/>
      <c r="O34" s="251"/>
      <c r="P34" s="202"/>
    </row>
    <row r="35" spans="1:21" s="136" customFormat="1" ht="20.100000000000001" customHeight="1">
      <c r="A35" s="356"/>
      <c r="B35" s="407"/>
      <c r="C35" s="408"/>
      <c r="D35" s="409"/>
      <c r="E35" s="410"/>
      <c r="F35" s="410"/>
      <c r="G35" s="411"/>
      <c r="H35" s="412"/>
      <c r="I35" s="413"/>
      <c r="J35" s="414"/>
      <c r="K35" s="415"/>
      <c r="L35" s="352"/>
      <c r="M35" s="357"/>
      <c r="N35" s="358"/>
      <c r="O35" s="251"/>
      <c r="P35" s="202"/>
    </row>
    <row r="36" spans="1:21" s="136" customFormat="1" ht="20.100000000000001" customHeight="1">
      <c r="A36" s="356"/>
      <c r="B36" s="359"/>
      <c r="C36" s="360"/>
      <c r="D36" s="361"/>
      <c r="E36" s="361"/>
      <c r="F36" s="361"/>
      <c r="G36" s="362"/>
      <c r="H36" s="363"/>
      <c r="I36" s="364"/>
      <c r="J36" s="365"/>
      <c r="K36" s="366"/>
      <c r="L36" s="352"/>
      <c r="M36" s="357"/>
      <c r="N36" s="367"/>
      <c r="O36" s="368"/>
      <c r="P36" s="202"/>
    </row>
    <row r="37" spans="1:21" s="136" customFormat="1" ht="20.100000000000001" customHeight="1">
      <c r="A37" s="356"/>
      <c r="B37" s="359"/>
      <c r="C37" s="360"/>
      <c r="D37" s="361"/>
      <c r="E37" s="361"/>
      <c r="F37" s="361" t="s">
        <v>202</v>
      </c>
      <c r="G37" s="369"/>
      <c r="H37" s="254">
        <f>SUM(H24:H36)</f>
        <v>167497249.10000002</v>
      </c>
      <c r="I37" s="370">
        <f>J37/H37</f>
        <v>0.6750662214662948</v>
      </c>
      <c r="J37" s="371">
        <f>SUM(J24:J36)</f>
        <v>113071735.05593577</v>
      </c>
      <c r="K37" s="372"/>
      <c r="L37" s="352"/>
      <c r="N37" s="373"/>
      <c r="O37" s="132"/>
    </row>
    <row r="38" spans="1:21" ht="20.100000000000001" customHeight="1">
      <c r="A38" s="351"/>
      <c r="B38" s="354"/>
      <c r="C38" s="355"/>
      <c r="D38" s="374"/>
      <c r="E38" s="374"/>
      <c r="F38" s="361" t="s">
        <v>523</v>
      </c>
      <c r="G38" s="369"/>
      <c r="H38" s="254">
        <f>H37*0.11</f>
        <v>18424697.401000004</v>
      </c>
      <c r="I38" s="371"/>
      <c r="J38" s="371"/>
      <c r="K38" s="366"/>
      <c r="L38" s="352"/>
      <c r="N38" s="367"/>
      <c r="O38" s="202"/>
      <c r="R38" s="132"/>
      <c r="S38" s="132"/>
      <c r="T38" s="132"/>
      <c r="U38" s="132"/>
    </row>
    <row r="39" spans="1:21" ht="20.100000000000001" customHeight="1">
      <c r="A39" s="351"/>
      <c r="B39" s="354"/>
      <c r="C39" s="355"/>
      <c r="D39" s="374"/>
      <c r="E39" s="374"/>
      <c r="F39" s="361" t="s">
        <v>524</v>
      </c>
      <c r="G39" s="369"/>
      <c r="H39" s="255">
        <f>H37+H38</f>
        <v>185921946.50100002</v>
      </c>
      <c r="I39" s="375"/>
      <c r="J39" s="375"/>
      <c r="K39" s="366"/>
      <c r="L39" s="352">
        <v>186050000</v>
      </c>
      <c r="M39" s="376"/>
      <c r="N39" s="357"/>
      <c r="O39" s="377"/>
      <c r="R39" s="132"/>
      <c r="S39" s="132"/>
      <c r="T39" s="132"/>
      <c r="U39" s="132"/>
    </row>
    <row r="40" spans="1:21" ht="20.100000000000001" customHeight="1" thickBot="1">
      <c r="A40" s="351"/>
      <c r="B40" s="378"/>
      <c r="C40" s="379"/>
      <c r="D40" s="380"/>
      <c r="E40" s="380"/>
      <c r="F40" s="381" t="s">
        <v>119</v>
      </c>
      <c r="G40" s="382"/>
      <c r="H40" s="285">
        <f>ROUNDDOWN(H39,-3)</f>
        <v>185921000</v>
      </c>
      <c r="I40" s="383"/>
      <c r="J40" s="383"/>
      <c r="K40" s="384"/>
      <c r="L40" s="352">
        <f>L39-H40</f>
        <v>129000</v>
      </c>
      <c r="M40" s="385"/>
      <c r="N40" s="386"/>
      <c r="R40" s="132"/>
      <c r="S40" s="132"/>
      <c r="T40" s="132"/>
      <c r="U40" s="132"/>
    </row>
    <row r="41" spans="1:21">
      <c r="A41" s="387"/>
      <c r="F41" s="144"/>
      <c r="K41" s="144"/>
      <c r="L41" s="352"/>
      <c r="M41" s="388"/>
      <c r="N41" s="389"/>
      <c r="R41" s="132"/>
      <c r="S41" s="132"/>
      <c r="T41" s="132"/>
      <c r="U41" s="132"/>
    </row>
    <row r="42" spans="1:21">
      <c r="A42" s="387"/>
      <c r="B42" s="143" t="s">
        <v>320</v>
      </c>
      <c r="D42" s="397" t="str">
        <f>huruf!F10</f>
        <v>Seratus Delapan Puluh Lima Juta Sembilan Ratus Dua Puluh Satu Ribu  Rupiah</v>
      </c>
      <c r="F42" s="144"/>
      <c r="K42" s="144"/>
      <c r="L42" s="352"/>
      <c r="M42" s="388"/>
      <c r="N42" s="389"/>
      <c r="R42" s="132"/>
      <c r="S42" s="132"/>
      <c r="T42" s="132"/>
      <c r="U42" s="132"/>
    </row>
    <row r="43" spans="1:21">
      <c r="A43" s="387"/>
      <c r="F43" s="144"/>
      <c r="H43" s="143" t="s">
        <v>707</v>
      </c>
      <c r="K43" s="144"/>
      <c r="L43" s="352"/>
      <c r="M43" s="388"/>
      <c r="N43" s="389"/>
      <c r="R43" s="132"/>
      <c r="S43" s="132"/>
      <c r="T43" s="132"/>
      <c r="U43" s="132"/>
    </row>
    <row r="44" spans="1:21">
      <c r="A44" s="387"/>
      <c r="F44" s="144"/>
      <c r="H44" s="137" t="s">
        <v>736</v>
      </c>
      <c r="I44" s="390"/>
      <c r="J44" s="143"/>
      <c r="K44" s="144"/>
      <c r="L44" s="352"/>
      <c r="M44" s="388"/>
      <c r="N44" s="389"/>
      <c r="R44" s="132"/>
      <c r="S44" s="132"/>
      <c r="T44" s="132"/>
      <c r="U44" s="132"/>
    </row>
    <row r="45" spans="1:21">
      <c r="H45" s="137" t="s">
        <v>737</v>
      </c>
      <c r="I45" s="390"/>
      <c r="J45" s="143"/>
      <c r="O45" s="392"/>
    </row>
    <row r="46" spans="1:21">
      <c r="H46" s="143"/>
      <c r="I46" s="399"/>
      <c r="J46" s="137"/>
      <c r="O46" s="132">
        <v>6</v>
      </c>
    </row>
    <row r="47" spans="1:21">
      <c r="H47" s="143"/>
      <c r="I47" s="390"/>
      <c r="J47" s="143"/>
    </row>
    <row r="48" spans="1:21">
      <c r="H48" s="143"/>
      <c r="I48" s="390"/>
      <c r="J48" s="143"/>
    </row>
    <row r="49" spans="1:21">
      <c r="H49" s="143"/>
      <c r="I49" s="390"/>
      <c r="J49" s="143"/>
      <c r="P49" s="377">
        <f>O49*N49</f>
        <v>0</v>
      </c>
    </row>
    <row r="50" spans="1:21">
      <c r="A50" s="132"/>
      <c r="D50" s="136"/>
      <c r="H50" s="143"/>
      <c r="I50" s="390"/>
      <c r="J50" s="143"/>
      <c r="O50" s="132">
        <f>N46/O46</f>
        <v>0</v>
      </c>
      <c r="R50" s="132"/>
      <c r="S50" s="132"/>
      <c r="T50" s="132"/>
      <c r="U50" s="132"/>
    </row>
    <row r="51" spans="1:21">
      <c r="A51" s="132"/>
      <c r="D51" s="136"/>
      <c r="H51" s="134" t="s">
        <v>738</v>
      </c>
      <c r="I51" s="390"/>
      <c r="J51" s="143"/>
      <c r="O51" s="132">
        <v>6</v>
      </c>
      <c r="R51" s="132"/>
      <c r="S51" s="132"/>
      <c r="T51" s="132"/>
      <c r="U51" s="132"/>
    </row>
    <row r="52" spans="1:21">
      <c r="A52" s="132"/>
      <c r="D52" s="388"/>
      <c r="H52" s="143" t="s">
        <v>739</v>
      </c>
      <c r="I52" s="400"/>
      <c r="J52" s="143"/>
      <c r="R52" s="132"/>
      <c r="S52" s="132"/>
      <c r="T52" s="132"/>
      <c r="U52" s="132"/>
    </row>
    <row r="53" spans="1:21">
      <c r="A53" s="132"/>
      <c r="D53" s="136"/>
      <c r="I53" s="390" t="s">
        <v>525</v>
      </c>
      <c r="J53" s="143"/>
      <c r="R53" s="132"/>
      <c r="S53" s="132"/>
      <c r="T53" s="132"/>
      <c r="U53" s="132"/>
    </row>
    <row r="54" spans="1:21">
      <c r="A54" s="132"/>
      <c r="D54" s="202"/>
      <c r="I54" s="143"/>
      <c r="J54" s="143"/>
      <c r="R54" s="132"/>
      <c r="S54" s="132"/>
      <c r="T54" s="132"/>
      <c r="U54" s="132"/>
    </row>
    <row r="55" spans="1:21">
      <c r="A55" s="132"/>
      <c r="H55" s="134"/>
      <c r="I55" s="137"/>
      <c r="J55" s="137"/>
      <c r="O55" s="133">
        <f>N51/O51</f>
        <v>0</v>
      </c>
      <c r="R55" s="132"/>
      <c r="S55" s="132"/>
      <c r="T55" s="132"/>
      <c r="U55" s="132"/>
    </row>
    <row r="56" spans="1:21">
      <c r="A56" s="132"/>
      <c r="H56" s="143"/>
      <c r="I56" s="143"/>
      <c r="J56" s="143"/>
      <c r="R56" s="132"/>
      <c r="S56" s="132"/>
      <c r="T56" s="132"/>
      <c r="U56" s="132"/>
    </row>
    <row r="61" spans="1:21">
      <c r="G61" s="250"/>
    </row>
    <row r="62" spans="1:21">
      <c r="D62" s="133"/>
      <c r="E62" s="133"/>
      <c r="F62" s="393"/>
      <c r="G62" s="146"/>
    </row>
    <row r="63" spans="1:21">
      <c r="D63" s="133"/>
      <c r="E63" s="133"/>
      <c r="F63" s="133"/>
      <c r="G63" s="133"/>
    </row>
    <row r="64" spans="1:21">
      <c r="D64" s="142"/>
      <c r="E64" s="133"/>
      <c r="F64" s="133"/>
    </row>
    <row r="65" spans="1:21">
      <c r="D65" s="133"/>
      <c r="E65" s="133"/>
      <c r="F65" s="133"/>
      <c r="G65" s="133"/>
    </row>
    <row r="66" spans="1:21">
      <c r="D66" s="133"/>
      <c r="E66" s="133"/>
      <c r="F66" s="133"/>
      <c r="G66" s="133"/>
    </row>
    <row r="67" spans="1:21">
      <c r="D67" s="133"/>
      <c r="E67" s="133"/>
      <c r="F67" s="393"/>
      <c r="G67" s="146"/>
    </row>
    <row r="68" spans="1:21">
      <c r="D68" s="133"/>
      <c r="E68" s="133"/>
      <c r="F68" s="133"/>
      <c r="G68" s="133"/>
    </row>
    <row r="69" spans="1:21">
      <c r="A69" s="132"/>
      <c r="B69" s="132"/>
      <c r="D69" s="133"/>
      <c r="E69" s="133"/>
      <c r="F69" s="133"/>
      <c r="G69" s="133"/>
      <c r="R69" s="132"/>
      <c r="S69" s="132"/>
      <c r="T69" s="132"/>
      <c r="U69" s="132"/>
    </row>
    <row r="342" spans="12:12" s="132" customFormat="1">
      <c r="L342" s="133"/>
    </row>
  </sheetData>
  <mergeCells count="3">
    <mergeCell ref="B11:K11"/>
    <mergeCell ref="B13:K13"/>
    <mergeCell ref="B12:K12"/>
  </mergeCells>
  <printOptions horizontalCentered="1"/>
  <pageMargins left="0.51181102362204722" right="0.31496062992125984" top="0.55118110236220474" bottom="0.35433070866141736" header="0.31496062992125984" footer="0.31496062992125984"/>
  <pageSetup paperSize="14" scale="65" orientation="portrait" horizontalDpi="4294967292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1:AD456"/>
  <sheetViews>
    <sheetView view="pageBreakPreview" topLeftCell="A127" zoomScale="70" zoomScaleNormal="70" zoomScaleSheetLayoutView="70" workbookViewId="0">
      <selection activeCell="K138" sqref="K138"/>
    </sheetView>
  </sheetViews>
  <sheetFormatPr defaultColWidth="12.5703125" defaultRowHeight="16.5"/>
  <cols>
    <col min="1" max="1" width="14.5703125" style="550" customWidth="1"/>
    <col min="2" max="2" width="6.7109375" style="143" customWidth="1"/>
    <col min="3" max="3" width="1.7109375" style="132" hidden="1" customWidth="1"/>
    <col min="4" max="4" width="47.7109375" style="132" customWidth="1"/>
    <col min="5" max="5" width="3.42578125" style="132" customWidth="1"/>
    <col min="6" max="6" width="31.5703125" style="132" customWidth="1"/>
    <col min="7" max="7" width="13.7109375" style="143" customWidth="1"/>
    <col min="8" max="8" width="7.140625" style="132" customWidth="1"/>
    <col min="9" max="9" width="17.140625" style="143" customWidth="1"/>
    <col min="10" max="10" width="17.85546875" style="132" customWidth="1"/>
    <col min="11" max="11" width="22.140625" style="132" customWidth="1"/>
    <col min="12" max="12" width="21.28515625" style="132" customWidth="1"/>
    <col min="13" max="13" width="10.28515625" style="132" hidden="1" customWidth="1"/>
    <col min="14" max="14" width="22.28515625" style="132" hidden="1" customWidth="1"/>
    <col min="15" max="15" width="22.140625" style="132" hidden="1" customWidth="1"/>
    <col min="16" max="16" width="17.42578125" style="133" customWidth="1"/>
    <col min="17" max="17" width="14" style="145" customWidth="1"/>
    <col min="18" max="18" width="19" style="146" customWidth="1"/>
    <col min="19" max="19" width="20.7109375" style="146" customWidth="1"/>
    <col min="20" max="20" width="16.7109375" style="147" customWidth="1"/>
    <col min="21" max="21" width="22.85546875" style="145" customWidth="1"/>
    <col min="22" max="22" width="34.5703125" style="132" customWidth="1"/>
    <col min="23" max="23" width="19.140625" style="132" hidden="1" customWidth="1"/>
    <col min="24" max="24" width="17.7109375" style="132" hidden="1" customWidth="1"/>
    <col min="25" max="25" width="16.7109375" style="132" hidden="1" customWidth="1"/>
    <col min="26" max="26" width="18" style="146" hidden="1" customWidth="1"/>
    <col min="27" max="27" width="1.7109375" style="146" hidden="1" customWidth="1"/>
    <col min="28" max="28" width="19.42578125" style="146" hidden="1" customWidth="1"/>
    <col min="29" max="29" width="21.28515625" style="133" customWidth="1"/>
    <col min="30" max="30" width="17.28515625" style="132" customWidth="1"/>
    <col min="31" max="16384" width="12.5703125" style="132"/>
  </cols>
  <sheetData>
    <row r="11" spans="1:28" ht="43.5" customHeight="1">
      <c r="B11" s="958" t="s">
        <v>735</v>
      </c>
      <c r="C11" s="958"/>
      <c r="D11" s="958"/>
      <c r="E11" s="958"/>
      <c r="F11" s="958"/>
      <c r="G11" s="958"/>
      <c r="H11" s="958"/>
      <c r="I11" s="958"/>
      <c r="J11" s="958"/>
      <c r="K11" s="958"/>
      <c r="L11" s="958"/>
      <c r="M11" s="958"/>
      <c r="N11" s="958"/>
      <c r="O11" s="958"/>
      <c r="P11" s="128"/>
      <c r="Q11" s="129"/>
      <c r="R11" s="130"/>
      <c r="S11" s="130"/>
      <c r="T11" s="131"/>
      <c r="U11" s="129"/>
      <c r="Z11" s="132"/>
      <c r="AA11" s="132"/>
      <c r="AB11" s="132"/>
    </row>
    <row r="12" spans="1:28" ht="24.95" customHeight="1">
      <c r="B12" s="957"/>
      <c r="C12" s="957"/>
      <c r="D12" s="957"/>
      <c r="E12" s="957"/>
      <c r="F12" s="957"/>
      <c r="G12" s="957"/>
      <c r="H12" s="957"/>
      <c r="I12" s="957"/>
      <c r="J12" s="957"/>
      <c r="K12" s="957"/>
      <c r="L12" s="957"/>
      <c r="M12" s="134"/>
      <c r="N12" s="134"/>
      <c r="O12" s="134"/>
      <c r="P12" s="128"/>
      <c r="Q12" s="129"/>
      <c r="R12" s="130"/>
      <c r="S12" s="130"/>
      <c r="T12" s="131"/>
      <c r="U12" s="129"/>
      <c r="Z12" s="132"/>
      <c r="AA12" s="132"/>
      <c r="AB12" s="132"/>
    </row>
    <row r="13" spans="1:28" ht="24.95" customHeight="1">
      <c r="A13" s="551"/>
      <c r="B13" s="135"/>
      <c r="D13" s="579" t="s">
        <v>710</v>
      </c>
      <c r="E13" s="580" t="s">
        <v>103</v>
      </c>
      <c r="F13" s="579" t="s">
        <v>729</v>
      </c>
      <c r="G13" s="138"/>
      <c r="H13" s="138"/>
      <c r="I13" s="138"/>
      <c r="J13" s="138"/>
      <c r="K13" s="135"/>
      <c r="L13" s="135"/>
      <c r="M13" s="135"/>
      <c r="N13" s="135"/>
      <c r="O13" s="135"/>
      <c r="P13" s="139"/>
      <c r="Q13" s="140"/>
      <c r="R13" s="141"/>
      <c r="S13" s="141"/>
      <c r="T13" s="142"/>
      <c r="U13" s="140"/>
      <c r="Z13" s="132"/>
      <c r="AA13" s="132"/>
      <c r="AB13" s="132"/>
    </row>
    <row r="14" spans="1:28" ht="24.95" customHeight="1">
      <c r="D14" s="579" t="s">
        <v>104</v>
      </c>
      <c r="E14" s="580" t="s">
        <v>103</v>
      </c>
      <c r="F14" s="579" t="s">
        <v>709</v>
      </c>
      <c r="K14" s="144"/>
      <c r="Z14" s="132"/>
      <c r="AA14" s="132"/>
      <c r="AB14" s="132"/>
    </row>
    <row r="15" spans="1:28" ht="24.95" customHeight="1">
      <c r="D15" s="579" t="s">
        <v>105</v>
      </c>
      <c r="E15" s="580" t="s">
        <v>103</v>
      </c>
      <c r="F15" s="579" t="s">
        <v>106</v>
      </c>
      <c r="I15" s="148"/>
      <c r="Z15" s="132"/>
      <c r="AA15" s="132"/>
      <c r="AB15" s="132"/>
    </row>
    <row r="16" spans="1:28" ht="24.95" customHeight="1">
      <c r="D16" s="579" t="s">
        <v>304</v>
      </c>
      <c r="E16" s="580" t="s">
        <v>103</v>
      </c>
      <c r="F16" s="579" t="s">
        <v>708</v>
      </c>
      <c r="Z16" s="132"/>
      <c r="AA16" s="132"/>
      <c r="AB16" s="132"/>
    </row>
    <row r="17" spans="1:30" ht="24.95" customHeight="1">
      <c r="D17" s="581" t="s">
        <v>107</v>
      </c>
      <c r="E17" s="580" t="s">
        <v>103</v>
      </c>
      <c r="F17" s="581">
        <v>2025</v>
      </c>
      <c r="J17" s="144"/>
      <c r="Z17" s="132"/>
      <c r="AA17" s="132"/>
      <c r="AB17" s="132"/>
    </row>
    <row r="18" spans="1:30" ht="17.25" thickBot="1">
      <c r="Z18" s="132"/>
      <c r="AA18" s="132"/>
      <c r="AB18" s="132"/>
    </row>
    <row r="19" spans="1:30">
      <c r="B19" s="149"/>
      <c r="C19" s="150"/>
      <c r="D19" s="151"/>
      <c r="E19" s="151"/>
      <c r="F19" s="151"/>
      <c r="G19" s="152"/>
      <c r="H19" s="153"/>
      <c r="I19" s="154"/>
      <c r="J19" s="151"/>
      <c r="K19" s="153"/>
      <c r="L19" s="153"/>
      <c r="M19" s="152"/>
      <c r="N19" s="154"/>
      <c r="O19" s="155"/>
      <c r="Z19" s="132"/>
      <c r="AA19" s="132"/>
      <c r="AB19" s="132"/>
    </row>
    <row r="20" spans="1:30" ht="18">
      <c r="B20" s="156" t="s">
        <v>166</v>
      </c>
      <c r="C20" s="157" t="s">
        <v>376</v>
      </c>
      <c r="D20" s="157"/>
      <c r="E20" s="158" t="s">
        <v>263</v>
      </c>
      <c r="F20" s="157"/>
      <c r="G20" s="159" t="s">
        <v>377</v>
      </c>
      <c r="H20" s="160" t="s">
        <v>378</v>
      </c>
      <c r="I20" s="161" t="s">
        <v>379</v>
      </c>
      <c r="J20" s="162" t="s">
        <v>108</v>
      </c>
      <c r="K20" s="159" t="s">
        <v>59</v>
      </c>
      <c r="L20" s="159" t="s">
        <v>108</v>
      </c>
      <c r="M20" s="163" t="s">
        <v>420</v>
      </c>
      <c r="N20" s="164" t="s">
        <v>425</v>
      </c>
      <c r="O20" s="165" t="s">
        <v>427</v>
      </c>
      <c r="Z20" s="132"/>
      <c r="AA20" s="132"/>
      <c r="AB20" s="132"/>
    </row>
    <row r="21" spans="1:30" ht="18">
      <c r="B21" s="156"/>
      <c r="C21" s="157"/>
      <c r="D21" s="157"/>
      <c r="E21" s="157"/>
      <c r="F21" s="157"/>
      <c r="G21" s="159"/>
      <c r="H21" s="160"/>
      <c r="I21" s="161"/>
      <c r="J21" s="162" t="s">
        <v>380</v>
      </c>
      <c r="K21" s="160" t="s">
        <v>108</v>
      </c>
      <c r="L21" s="159" t="s">
        <v>178</v>
      </c>
      <c r="M21" s="163"/>
      <c r="N21" s="164" t="s">
        <v>426</v>
      </c>
      <c r="O21" s="165" t="s">
        <v>109</v>
      </c>
      <c r="Z21" s="132"/>
      <c r="AA21" s="132"/>
      <c r="AB21" s="132"/>
    </row>
    <row r="22" spans="1:30">
      <c r="B22" s="166"/>
      <c r="G22" s="167" t="s">
        <v>54</v>
      </c>
      <c r="H22" s="168"/>
      <c r="I22" s="169"/>
      <c r="J22" s="143" t="s">
        <v>109</v>
      </c>
      <c r="K22" s="170" t="s">
        <v>109</v>
      </c>
      <c r="L22" s="167" t="s">
        <v>109</v>
      </c>
      <c r="M22" s="167" t="s">
        <v>522</v>
      </c>
      <c r="N22" s="169" t="str">
        <f>L22</f>
        <v>Rp.</v>
      </c>
      <c r="O22" s="171"/>
      <c r="Z22" s="132"/>
      <c r="AA22" s="132"/>
      <c r="AB22" s="132"/>
    </row>
    <row r="23" spans="1:30" ht="17.25" thickBot="1">
      <c r="B23" s="172" t="s">
        <v>110</v>
      </c>
      <c r="C23" s="173"/>
      <c r="D23" s="959" t="s">
        <v>26</v>
      </c>
      <c r="E23" s="959"/>
      <c r="F23" s="960"/>
      <c r="G23" s="174" t="s">
        <v>111</v>
      </c>
      <c r="H23" s="175"/>
      <c r="I23" s="176" t="s">
        <v>112</v>
      </c>
      <c r="J23" s="177" t="s">
        <v>113</v>
      </c>
      <c r="K23" s="178">
        <v>6</v>
      </c>
      <c r="L23" s="176" t="s">
        <v>114</v>
      </c>
      <c r="M23" s="176">
        <v>8</v>
      </c>
      <c r="N23" s="177">
        <v>9</v>
      </c>
      <c r="O23" s="179">
        <v>10</v>
      </c>
      <c r="Q23" s="133"/>
      <c r="T23" s="146"/>
      <c r="U23" s="133"/>
      <c r="Z23" s="132"/>
      <c r="AA23" s="132"/>
      <c r="AB23" s="132"/>
    </row>
    <row r="24" spans="1:30" ht="18">
      <c r="B24" s="473"/>
      <c r="C24" s="474"/>
      <c r="D24" s="475" t="s">
        <v>593</v>
      </c>
      <c r="E24" s="180"/>
      <c r="F24" s="180"/>
      <c r="G24" s="181"/>
      <c r="H24" s="182"/>
      <c r="I24" s="183"/>
      <c r="J24" s="184"/>
      <c r="K24" s="185"/>
      <c r="L24" s="186"/>
      <c r="M24" s="183"/>
      <c r="N24" s="187"/>
      <c r="O24" s="188"/>
      <c r="Q24" s="133"/>
      <c r="T24" s="146"/>
      <c r="U24" s="133"/>
      <c r="Z24" s="132"/>
      <c r="AA24" s="132"/>
      <c r="AB24" s="132"/>
    </row>
    <row r="25" spans="1:30" ht="21.95" customHeight="1">
      <c r="B25" s="228" t="s">
        <v>200</v>
      </c>
      <c r="C25" s="229"/>
      <c r="D25" s="230" t="s">
        <v>115</v>
      </c>
      <c r="E25" s="231"/>
      <c r="F25" s="231"/>
      <c r="G25" s="467"/>
      <c r="H25" s="233"/>
      <c r="I25" s="234"/>
      <c r="J25" s="468"/>
      <c r="K25" s="469"/>
      <c r="L25" s="470"/>
      <c r="M25" s="234"/>
      <c r="N25" s="471"/>
      <c r="O25" s="238"/>
    </row>
    <row r="26" spans="1:30" ht="21.95" customHeight="1">
      <c r="A26" s="550">
        <f>HGR.SAT!$B$12</f>
        <v>1</v>
      </c>
      <c r="B26" s="189">
        <v>1</v>
      </c>
      <c r="C26" s="190"/>
      <c r="D26" s="191" t="str">
        <f>VLOOKUP($A26,HGR.SAT!$B$12:$M$150,2,0)</f>
        <v xml:space="preserve">Pengukuran dan pemasangan bouwplank  </v>
      </c>
      <c r="E26" s="192"/>
      <c r="F26" s="192"/>
      <c r="G26" s="193">
        <f>'BACK UP VOLUME'!T14</f>
        <v>15</v>
      </c>
      <c r="H26" s="194" t="str">
        <f>VLOOKUP($A26,HGR.SAT!$B$12:$M$150,7,0)</f>
        <v>m'</v>
      </c>
      <c r="I26" s="195" t="str">
        <f>VLOOKUP($A26,HGR.SAT!$B$12:$M$150,5,0)</f>
        <v>A.2.2.1.4.</v>
      </c>
      <c r="J26" s="196">
        <f>VLOOKUP($A26,HGR.SAT!$B$12:$K$144,6,0)</f>
        <v>66926.720000000001</v>
      </c>
      <c r="K26" s="197">
        <f t="shared" ref="K26" si="0">ROUND((G26*J26),2)</f>
        <v>1003900.8</v>
      </c>
      <c r="L26" s="198"/>
      <c r="M26" s="199">
        <f>VLOOKUP($A26,HGR.SAT!$B$12:$K$144,8,0)</f>
        <v>0.83152319432358257</v>
      </c>
      <c r="N26" s="200">
        <f>M26*K26</f>
        <v>834766.8</v>
      </c>
      <c r="O26" s="201">
        <f>K26-N26</f>
        <v>169134</v>
      </c>
      <c r="T26" s="146"/>
      <c r="U26" s="146"/>
      <c r="AD26" s="202"/>
    </row>
    <row r="27" spans="1:30" ht="21.95" customHeight="1">
      <c r="A27" s="550">
        <f>HGR.SAT!$B$114</f>
        <v>103</v>
      </c>
      <c r="B27" s="189">
        <f>B26+1</f>
        <v>2</v>
      </c>
      <c r="C27" s="190"/>
      <c r="D27" s="191" t="str">
        <f>VLOOKUP($A27,HGR.SAT!$B$12:$M$150,2,0)</f>
        <v>Penyelenggaraan K3</v>
      </c>
      <c r="E27" s="191"/>
      <c r="F27" s="191"/>
      <c r="G27" s="193">
        <f>'BACK UP VOLUME'!T15</f>
        <v>1</v>
      </c>
      <c r="H27" s="194" t="str">
        <f>VLOOKUP($A27,HGR.SAT!$B$12:$M$150,7,0)</f>
        <v>ls</v>
      </c>
      <c r="I27" s="195" t="str">
        <f>VLOOKUP($A27,HGR.SAT!$B$12:$M$150,5,0)</f>
        <v>Dihitung</v>
      </c>
      <c r="J27" s="196">
        <v>300000</v>
      </c>
      <c r="K27" s="197">
        <f t="shared" ref="K27" si="1">ROUND((G27*J27),2)</f>
        <v>300000</v>
      </c>
      <c r="L27" s="198"/>
      <c r="M27" s="199">
        <f>VLOOKUP($A27,HGR.SAT!$B$12:$K$144,8,0)</f>
        <v>0.70121951219512191</v>
      </c>
      <c r="N27" s="200">
        <f>M27*K27</f>
        <v>210365.85365853657</v>
      </c>
      <c r="O27" s="201">
        <f>K27-N27</f>
        <v>89634.146341463435</v>
      </c>
      <c r="T27" s="146"/>
      <c r="U27" s="146"/>
      <c r="AD27" s="202"/>
    </row>
    <row r="28" spans="1:30" ht="21.95" customHeight="1">
      <c r="A28" s="550">
        <f>HGR.SAT!$B$130</f>
        <v>119</v>
      </c>
      <c r="B28" s="203">
        <f>B27+1</f>
        <v>3</v>
      </c>
      <c r="C28" s="204"/>
      <c r="D28" s="205" t="str">
        <f>VLOOKUP($A28,HGR.SAT!$B$12:$M$150,2,0)</f>
        <v>Pembersihan lapangan</v>
      </c>
      <c r="E28" s="205"/>
      <c r="F28" s="205"/>
      <c r="G28" s="193">
        <f>'BACK UP VOLUME'!T16</f>
        <v>1</v>
      </c>
      <c r="H28" s="207" t="str">
        <f>VLOOKUP($A28,HGR.SAT!$B$12:$M$150,7,0)</f>
        <v>ls</v>
      </c>
      <c r="I28" s="208" t="str">
        <f>VLOOKUP($A28,HGR.SAT!$B$12:$M$150,5,0)</f>
        <v>Daftar harga</v>
      </c>
      <c r="J28" s="209">
        <v>400000</v>
      </c>
      <c r="K28" s="210">
        <f t="shared" ref="K28" si="2">ROUND((G28*J28),2)</f>
        <v>400000</v>
      </c>
      <c r="L28" s="211"/>
      <c r="M28" s="212">
        <f>VLOOKUP($A28,HGR.SAT!$B$12:$K$144,8,0)</f>
        <v>0.1</v>
      </c>
      <c r="N28" s="213">
        <f>M28*K28</f>
        <v>40000</v>
      </c>
      <c r="O28" s="214">
        <f>K28-N28</f>
        <v>360000</v>
      </c>
      <c r="T28" s="146"/>
      <c r="U28" s="146"/>
      <c r="AD28" s="202"/>
    </row>
    <row r="29" spans="1:30" ht="21.95" customHeight="1">
      <c r="B29" s="417"/>
      <c r="C29" s="418"/>
      <c r="D29" s="419"/>
      <c r="E29" s="419"/>
      <c r="F29" s="419"/>
      <c r="G29" s="420"/>
      <c r="H29" s="421"/>
      <c r="I29" s="422"/>
      <c r="J29" s="423"/>
      <c r="K29" s="406"/>
      <c r="L29" s="424"/>
      <c r="M29" s="425"/>
      <c r="N29" s="423"/>
      <c r="O29" s="426"/>
      <c r="T29" s="146"/>
      <c r="U29" s="146"/>
      <c r="AD29" s="202"/>
    </row>
    <row r="30" spans="1:30" ht="21.95" customHeight="1">
      <c r="B30" s="215"/>
      <c r="C30" s="216"/>
      <c r="D30" s="217"/>
      <c r="E30" s="217"/>
      <c r="F30" s="218"/>
      <c r="G30" s="219"/>
      <c r="H30" s="220"/>
      <c r="I30" s="221"/>
      <c r="J30" s="222"/>
      <c r="K30" s="223" t="s">
        <v>381</v>
      </c>
      <c r="L30" s="224">
        <f>SUM(K26:K30)</f>
        <v>1703900.8</v>
      </c>
      <c r="M30" s="225">
        <f>N30/L30</f>
        <v>0.63685201254588097</v>
      </c>
      <c r="N30" s="226">
        <f>SUM(N26:N28)</f>
        <v>1085132.6536585367</v>
      </c>
      <c r="O30" s="227">
        <f>SUM(O26:O28)</f>
        <v>618768.14634146343</v>
      </c>
      <c r="T30" s="146"/>
      <c r="U30" s="146"/>
      <c r="AD30" s="202"/>
    </row>
    <row r="31" spans="1:30" ht="21.95" customHeight="1">
      <c r="B31" s="239" t="s">
        <v>201</v>
      </c>
      <c r="C31" s="240"/>
      <c r="D31" s="241" t="s">
        <v>116</v>
      </c>
      <c r="E31" s="192"/>
      <c r="F31" s="192"/>
      <c r="G31" s="193"/>
      <c r="H31" s="242"/>
      <c r="I31" s="243"/>
      <c r="J31" s="196"/>
      <c r="K31" s="244"/>
      <c r="L31" s="197"/>
      <c r="M31" s="243"/>
      <c r="N31" s="472"/>
      <c r="O31" s="245"/>
      <c r="T31" s="146"/>
      <c r="U31" s="146"/>
      <c r="AD31" s="202"/>
    </row>
    <row r="32" spans="1:30" ht="21.95" customHeight="1">
      <c r="A32" s="550">
        <f>HGR.SAT!B16</f>
        <v>5</v>
      </c>
      <c r="B32" s="189">
        <v>1</v>
      </c>
      <c r="C32" s="190"/>
      <c r="D32" s="191" t="str">
        <f>VLOOKUP($A32,HGR.SAT!$B$12:$M$150,2,0)</f>
        <v xml:space="preserve">Penggalian 1 m3 Tanah Biasa </v>
      </c>
      <c r="E32" s="191"/>
      <c r="F32" s="191"/>
      <c r="G32" s="193">
        <f>'BACK UP VOLUME'!T21</f>
        <v>10.151999999999999</v>
      </c>
      <c r="H32" s="194" t="str">
        <f>VLOOKUP($A32,HGR.SAT!$B$12:$M$150,7,0)</f>
        <v>m3</v>
      </c>
      <c r="I32" s="195" t="str">
        <f>VLOOKUP($A32,HGR.SAT!$B$12:$M$150,5,0)</f>
        <v>A.1.5.1.2.</v>
      </c>
      <c r="J32" s="196">
        <f>VLOOKUP($A32,HGR.SAT!$B$12:$M$150,6,0)</f>
        <v>80024</v>
      </c>
      <c r="K32" s="197">
        <f t="shared" ref="K32:K33" si="3">ROUND((G32*J32),2)</f>
        <v>812403.65</v>
      </c>
      <c r="L32" s="197"/>
      <c r="M32" s="199">
        <f>VLOOKUP($A32,HGR.SAT!$B$12:$K$144,8,0)</f>
        <v>1</v>
      </c>
      <c r="N32" s="200">
        <f t="shared" ref="N32:N33" si="4">M32*K32</f>
        <v>812403.65</v>
      </c>
      <c r="O32" s="201">
        <f t="shared" ref="O32:O33" si="5">K32-N32</f>
        <v>0</v>
      </c>
      <c r="T32" s="146"/>
      <c r="U32" s="146"/>
      <c r="AD32" s="202"/>
    </row>
    <row r="33" spans="1:30" ht="21.95" customHeight="1">
      <c r="A33" s="550">
        <f>HGR.SAT!$B$18</f>
        <v>7</v>
      </c>
      <c r="B33" s="189">
        <f t="shared" ref="B33:B35" si="6">B32+1</f>
        <v>2</v>
      </c>
      <c r="C33" s="190"/>
      <c r="D33" s="191" t="str">
        <f>VLOOKUP($A33,HGR.SAT!$B$12:$M$150,2,0)</f>
        <v>Pengurugan Kembali 1 m3 Galian Tanah</v>
      </c>
      <c r="E33" s="191"/>
      <c r="F33" s="191"/>
      <c r="G33" s="193">
        <f>'BACK UP VOLUME'!T22</f>
        <v>3.3839999999999999</v>
      </c>
      <c r="H33" s="194" t="str">
        <f>VLOOKUP($A33,HGR.SAT!$B$12:$M$150,7,0)</f>
        <v>m3</v>
      </c>
      <c r="I33" s="195" t="str">
        <f>VLOOKUP($A33,HGR.SAT!$B$12:$M$150,5,0)</f>
        <v>A.1.5.1.15.</v>
      </c>
      <c r="J33" s="196">
        <f>VLOOKUP($A33,HGR.SAT!$B$12:$M$150,6,0)</f>
        <v>57008</v>
      </c>
      <c r="K33" s="197">
        <f t="shared" si="3"/>
        <v>192915.07</v>
      </c>
      <c r="L33" s="197"/>
      <c r="M33" s="199">
        <f>VLOOKUP($A33,HGR.SAT!$B$12:$K$144,8,0)</f>
        <v>1</v>
      </c>
      <c r="N33" s="200">
        <f t="shared" si="4"/>
        <v>192915.07</v>
      </c>
      <c r="O33" s="201">
        <f t="shared" si="5"/>
        <v>0</v>
      </c>
      <c r="T33" s="146"/>
      <c r="U33" s="146"/>
      <c r="AD33" s="202"/>
    </row>
    <row r="34" spans="1:30" ht="21.95" customHeight="1">
      <c r="A34" s="550">
        <f>HGR.SAT!B19</f>
        <v>8</v>
      </c>
      <c r="B34" s="189">
        <f t="shared" si="6"/>
        <v>3</v>
      </c>
      <c r="C34" s="190"/>
      <c r="D34" s="191" t="str">
        <f>VLOOKUP($A34,HGR.SAT!$B$12:$M$150,2,0)</f>
        <v>Urug tanah padat (Tanah cadas)</v>
      </c>
      <c r="E34" s="191"/>
      <c r="F34" s="191"/>
      <c r="G34" s="193">
        <f>'BACK UP VOLUME'!T23</f>
        <v>7.8480000000000008</v>
      </c>
      <c r="H34" s="194" t="str">
        <f>VLOOKUP($A34,HGR.SAT!$B$12:$M$150,7,0)</f>
        <v>m3</v>
      </c>
      <c r="I34" s="195" t="str">
        <f>VLOOKUP($A34,HGR.SAT!$B$12:$M$150,5,0)</f>
        <v>An. Dihitung</v>
      </c>
      <c r="J34" s="196">
        <f>VLOOKUP($A34,HGR.SAT!$B$12:$M$150,6,0)</f>
        <v>93833.600000000006</v>
      </c>
      <c r="K34" s="197">
        <f t="shared" ref="K34" si="7">ROUND((G34*J34),2)</f>
        <v>736406.09</v>
      </c>
      <c r="L34" s="197"/>
      <c r="M34" s="199">
        <f>VLOOKUP($A34,HGR.SAT!$B$12:$K$144,8,0)</f>
        <v>1</v>
      </c>
      <c r="N34" s="200">
        <f t="shared" ref="N34" si="8">M34*K34</f>
        <v>736406.09</v>
      </c>
      <c r="O34" s="201">
        <f t="shared" ref="O34" si="9">K34-N34</f>
        <v>0</v>
      </c>
      <c r="T34" s="146"/>
      <c r="U34" s="146"/>
      <c r="AD34" s="202"/>
    </row>
    <row r="35" spans="1:30" ht="21.95" customHeight="1">
      <c r="A35" s="550">
        <f>HGR.SAT!$B$20</f>
        <v>9</v>
      </c>
      <c r="B35" s="189">
        <f t="shared" si="6"/>
        <v>4</v>
      </c>
      <c r="C35" s="190"/>
      <c r="D35" s="191" t="str">
        <f>VLOOKUP($A35,HGR.SAT!$B$12:$M$150,2,0)</f>
        <v>Pengurugan 1 m3 dengan Pasir Urug</v>
      </c>
      <c r="E35" s="191"/>
      <c r="F35" s="191"/>
      <c r="G35" s="193">
        <f>'BACK UP VOLUME'!T24</f>
        <v>3.19</v>
      </c>
      <c r="H35" s="194" t="str">
        <f>VLOOKUP($A35,HGR.SAT!$B$12:$M$150,7,0)</f>
        <v>m3</v>
      </c>
      <c r="I35" s="195" t="str">
        <f>VLOOKUP($A35,HGR.SAT!$B$12:$M$150,5,0)</f>
        <v>A.1.5.1.10.</v>
      </c>
      <c r="J35" s="196">
        <f>VLOOKUP($A35,HGR.SAT!$B$12:$M$150,6,0)</f>
        <v>261833.60000000001</v>
      </c>
      <c r="K35" s="197">
        <f t="shared" ref="K35" si="10">ROUND((G35*J35),2)</f>
        <v>835249.18</v>
      </c>
      <c r="L35" s="197"/>
      <c r="M35" s="199">
        <f>VLOOKUP($A35,HGR.SAT!$B$12:$K$144,8,0)</f>
        <v>1</v>
      </c>
      <c r="N35" s="200">
        <f t="shared" ref="N35" si="11">M35*K35</f>
        <v>835249.18</v>
      </c>
      <c r="O35" s="201">
        <f t="shared" ref="O35" si="12">K35-N35</f>
        <v>0</v>
      </c>
      <c r="T35" s="146"/>
      <c r="U35" s="146"/>
      <c r="AD35" s="202"/>
    </row>
    <row r="36" spans="1:30" ht="21.95" customHeight="1">
      <c r="B36" s="189"/>
      <c r="C36" s="190"/>
      <c r="D36" s="191"/>
      <c r="E36" s="191"/>
      <c r="F36" s="191"/>
      <c r="G36" s="193"/>
      <c r="H36" s="194"/>
      <c r="I36" s="195"/>
      <c r="J36" s="196"/>
      <c r="K36" s="197"/>
      <c r="L36" s="197"/>
      <c r="M36" s="199"/>
      <c r="N36" s="200"/>
      <c r="O36" s="201"/>
      <c r="T36" s="146"/>
      <c r="U36" s="146"/>
      <c r="AD36" s="202"/>
    </row>
    <row r="37" spans="1:30" ht="21.95" customHeight="1">
      <c r="B37" s="215"/>
      <c r="C37" s="216"/>
      <c r="D37" s="217"/>
      <c r="E37" s="217"/>
      <c r="F37" s="218"/>
      <c r="G37" s="219"/>
      <c r="H37" s="220"/>
      <c r="I37" s="221"/>
      <c r="J37" s="222"/>
      <c r="K37" s="223" t="s">
        <v>530</v>
      </c>
      <c r="L37" s="224">
        <f>SUM(K32:K37)</f>
        <v>2576973.9900000002</v>
      </c>
      <c r="M37" s="225">
        <f>N37/L37</f>
        <v>1</v>
      </c>
      <c r="N37" s="226">
        <f>SUM(N32:N36)</f>
        <v>2576973.9900000002</v>
      </c>
      <c r="O37" s="227">
        <f>SUM(O32:O36)</f>
        <v>0</v>
      </c>
      <c r="T37" s="146"/>
      <c r="U37" s="146"/>
      <c r="V37" s="133"/>
      <c r="Z37" s="132"/>
      <c r="AA37" s="132"/>
      <c r="AB37" s="132"/>
      <c r="AD37" s="202"/>
    </row>
    <row r="38" spans="1:30" ht="21.95" customHeight="1">
      <c r="B38" s="228" t="s">
        <v>0</v>
      </c>
      <c r="C38" s="229"/>
      <c r="D38" s="230" t="s">
        <v>117</v>
      </c>
      <c r="E38" s="231"/>
      <c r="F38" s="231"/>
      <c r="G38" s="232"/>
      <c r="H38" s="233"/>
      <c r="I38" s="234"/>
      <c r="J38" s="235"/>
      <c r="K38" s="236"/>
      <c r="L38" s="237"/>
      <c r="M38" s="234"/>
      <c r="N38" s="233"/>
      <c r="O38" s="238"/>
      <c r="T38" s="146"/>
      <c r="U38" s="146"/>
      <c r="Z38" s="132"/>
      <c r="AA38" s="132"/>
      <c r="AB38" s="132"/>
      <c r="AD38" s="202"/>
    </row>
    <row r="39" spans="1:30" ht="21.95" customHeight="1">
      <c r="A39" s="550">
        <f>HGR.SAT!$B$21</f>
        <v>10</v>
      </c>
      <c r="B39" s="189">
        <v>1</v>
      </c>
      <c r="C39" s="190"/>
      <c r="D39" s="191" t="str">
        <f>VLOOKUP($A39,HGR.SAT!$B$12:$M$150,2,0)</f>
        <v>Memasang pondasi batu belah, campuran 1 PC : 8 PP</v>
      </c>
      <c r="E39" s="191"/>
      <c r="F39" s="191"/>
      <c r="G39" s="193">
        <f>'BACK UP VOLUME'!T28</f>
        <v>9.0240000000000009</v>
      </c>
      <c r="H39" s="194" t="str">
        <f>VLOOKUP($A39,HGR.SAT!$B$12:$M$150,7,0)</f>
        <v>m3</v>
      </c>
      <c r="I39" s="195" t="str">
        <f>VLOOKUP($A39,HGR.SAT!$B$12:$M$150,5,0)</f>
        <v>A.3.2.1.5.</v>
      </c>
      <c r="J39" s="196">
        <f>VLOOKUP($A39,HGR.SAT!$B$12:$M$150,6,0)</f>
        <v>956026.4</v>
      </c>
      <c r="K39" s="197">
        <f t="shared" ref="K39:K40" si="13">ROUND((G39*J39),2)</f>
        <v>8627182.2300000004</v>
      </c>
      <c r="L39" s="197"/>
      <c r="M39" s="199">
        <f>VLOOKUP($A39,HGR.SAT!$B$12:$K$144,8,0)</f>
        <v>0.98616042444016183</v>
      </c>
      <c r="N39" s="200">
        <f t="shared" ref="N39:N43" si="14">M39*K39</f>
        <v>8507785.6896594223</v>
      </c>
      <c r="O39" s="201">
        <f t="shared" ref="O39:O43" si="15">K39-N39</f>
        <v>119396.54034057818</v>
      </c>
      <c r="T39" s="146"/>
      <c r="U39" s="146"/>
      <c r="Z39" s="132"/>
      <c r="AA39" s="132"/>
      <c r="AB39" s="132"/>
      <c r="AD39" s="202"/>
    </row>
    <row r="40" spans="1:30" ht="21.95" customHeight="1">
      <c r="A40" s="550">
        <f>HGR.SAT!$B$25</f>
        <v>14</v>
      </c>
      <c r="B40" s="189">
        <f t="shared" ref="B40:B48" si="16">B39+1</f>
        <v>2</v>
      </c>
      <c r="C40" s="190"/>
      <c r="D40" s="191" t="str">
        <f>VLOOKUP($A40,HGR.SAT!$B$12:$M$150,2,0)</f>
        <v>Membuat dinding bt. merah t: 1/2bata, camp 1PC:8PP</v>
      </c>
      <c r="E40" s="191"/>
      <c r="F40" s="191"/>
      <c r="G40" s="193">
        <f>'BACK UP VOLUME'!T30</f>
        <v>120.30499999999998</v>
      </c>
      <c r="H40" s="194" t="str">
        <f>VLOOKUP($A40,HGR.SAT!$B$12:$M$150,7,0)</f>
        <v>m2</v>
      </c>
      <c r="I40" s="195" t="str">
        <f>VLOOKUP($A40,HGR.SAT!$B$12:$M$150,5,0)</f>
        <v>A.4.4.1.12.</v>
      </c>
      <c r="J40" s="196">
        <f>VLOOKUP($A40,HGR.SAT!$B$12:$M$150,6,0)</f>
        <v>133137.20000000001</v>
      </c>
      <c r="K40" s="197">
        <f t="shared" si="13"/>
        <v>16017070.85</v>
      </c>
      <c r="L40" s="197"/>
      <c r="M40" s="199">
        <f>VLOOKUP($A40,HGR.SAT!$B$12:$K$144,8,0)</f>
        <v>0.99290152263980314</v>
      </c>
      <c r="N40" s="200">
        <f t="shared" si="14"/>
        <v>15903374.035194606</v>
      </c>
      <c r="O40" s="201">
        <f t="shared" si="15"/>
        <v>113696.81480539404</v>
      </c>
      <c r="T40" s="146"/>
      <c r="U40" s="146"/>
      <c r="Z40" s="132"/>
      <c r="AA40" s="132"/>
      <c r="AB40" s="132"/>
      <c r="AD40" s="202"/>
    </row>
    <row r="41" spans="1:30" ht="21.95" customHeight="1">
      <c r="A41" s="550">
        <f>HGR.SAT!$B$27</f>
        <v>16</v>
      </c>
      <c r="B41" s="189">
        <f t="shared" si="16"/>
        <v>3</v>
      </c>
      <c r="C41" s="190"/>
      <c r="D41" s="191" t="str">
        <f>VLOOKUP($A41,HGR.SAT!$B$12:$M$150,2,0)</f>
        <v>Memasang plesteran 1 PC : 8 PP, tebal 15 mm</v>
      </c>
      <c r="E41" s="191"/>
      <c r="F41" s="191"/>
      <c r="G41" s="193">
        <f>'BACK UP VOLUME'!T55</f>
        <v>221.48999999999995</v>
      </c>
      <c r="H41" s="194" t="str">
        <f>VLOOKUP($A41,HGR.SAT!$B$12:$M$150,7,0)</f>
        <v>m2</v>
      </c>
      <c r="I41" s="195" t="str">
        <f>VLOOKUP($A41,HGR.SAT!$B$12:$M$150,5,0)</f>
        <v>A.4.4.2.8.</v>
      </c>
      <c r="J41" s="196">
        <f>VLOOKUP($A41,HGR.SAT!$B$12:$M$150,6,0)</f>
        <v>64875.78</v>
      </c>
      <c r="K41" s="197">
        <f t="shared" ref="K41" si="17">ROUND((G41*J41),2)</f>
        <v>14369336.51</v>
      </c>
      <c r="L41" s="197"/>
      <c r="M41" s="199">
        <f>VLOOKUP($A41,HGR.SAT!$B$12:$K$144,8,0)</f>
        <v>0.99225462530729502</v>
      </c>
      <c r="N41" s="200">
        <f t="shared" ref="N41" si="18">M41*K41</f>
        <v>14258040.614644485</v>
      </c>
      <c r="O41" s="201">
        <f t="shared" ref="O41" si="19">K41-N41</f>
        <v>111295.89535551518</v>
      </c>
      <c r="T41" s="146"/>
      <c r="U41" s="146"/>
      <c r="Z41" s="132"/>
      <c r="AA41" s="132"/>
      <c r="AB41" s="132"/>
      <c r="AD41" s="202"/>
    </row>
    <row r="42" spans="1:30" ht="21.95" customHeight="1">
      <c r="A42" s="550">
        <f>HGR.SAT!$B$28</f>
        <v>17</v>
      </c>
      <c r="B42" s="189">
        <f t="shared" si="16"/>
        <v>4</v>
      </c>
      <c r="C42" s="190"/>
      <c r="D42" s="191" t="str">
        <f>VLOOKUP($A42,HGR.SAT!$B$12:$M$150,2,0)</f>
        <v>Pemasangan 1 m2 Acian</v>
      </c>
      <c r="E42" s="191"/>
      <c r="F42" s="191"/>
      <c r="G42" s="193">
        <f>'BACK UP VOLUME'!T57</f>
        <v>221.48999999999995</v>
      </c>
      <c r="H42" s="194" t="str">
        <f>VLOOKUP($A42,HGR.SAT!$B$12:$M$150,7,0)</f>
        <v>m2</v>
      </c>
      <c r="I42" s="195" t="str">
        <f>VLOOKUP($A42,HGR.SAT!$B$12:$M$150,5,0)</f>
        <v>A.4.4.2.27.</v>
      </c>
      <c r="J42" s="196">
        <f>VLOOKUP($A42,HGR.SAT!$B$12:$M$150,6,0)</f>
        <v>38697.4</v>
      </c>
      <c r="K42" s="197">
        <f t="shared" ref="K42:K43" si="20">ROUND((G42*J42),2)</f>
        <v>8571087.1300000008</v>
      </c>
      <c r="L42" s="197"/>
      <c r="M42" s="199">
        <f>VLOOKUP($A42,HGR.SAT!$B$12:$K$144,8,0)</f>
        <v>0.98778895481350171</v>
      </c>
      <c r="N42" s="200">
        <f t="shared" si="14"/>
        <v>8466425.1977581568</v>
      </c>
      <c r="O42" s="201">
        <f t="shared" si="15"/>
        <v>104661.93224184401</v>
      </c>
      <c r="T42" s="146"/>
      <c r="U42" s="146"/>
      <c r="Z42" s="132"/>
      <c r="AA42" s="132"/>
      <c r="AB42" s="132"/>
      <c r="AD42" s="202"/>
    </row>
    <row r="43" spans="1:30" ht="21.95" customHeight="1">
      <c r="A43" s="550">
        <f>HGR.SAT!$B$115</f>
        <v>104</v>
      </c>
      <c r="B43" s="189">
        <f t="shared" si="16"/>
        <v>5</v>
      </c>
      <c r="C43" s="190"/>
      <c r="D43" s="191" t="str">
        <f>VLOOKUP($A43,HGR.SAT!$B$12:$M$150,2,0)</f>
        <v>Sponengan</v>
      </c>
      <c r="E43" s="191"/>
      <c r="F43" s="191"/>
      <c r="G43" s="193">
        <f>'BACK UP VOLUME'!T59</f>
        <v>79</v>
      </c>
      <c r="H43" s="194" t="str">
        <f>VLOOKUP($A43,HGR.SAT!$B$12:$M$150,7,0)</f>
        <v>m'</v>
      </c>
      <c r="I43" s="195" t="str">
        <f>VLOOKUP($A43,HGR.SAT!$B$12:$M$150,5,0)</f>
        <v>Daftar harga</v>
      </c>
      <c r="J43" s="196">
        <f>VLOOKUP($A43,HGR.SAT!$B$12:$M$150,6,0)</f>
        <v>15000</v>
      </c>
      <c r="K43" s="197">
        <f t="shared" si="20"/>
        <v>1185000</v>
      </c>
      <c r="L43" s="197"/>
      <c r="M43" s="199">
        <f>VLOOKUP($A43,HGR.SAT!$B$12:$K$144,8,0)</f>
        <v>0.5</v>
      </c>
      <c r="N43" s="200">
        <f t="shared" si="14"/>
        <v>592500</v>
      </c>
      <c r="O43" s="201">
        <f t="shared" si="15"/>
        <v>592500</v>
      </c>
      <c r="T43" s="146"/>
      <c r="U43" s="146"/>
      <c r="Z43" s="132"/>
      <c r="AA43" s="132"/>
      <c r="AB43" s="132"/>
      <c r="AD43" s="202"/>
    </row>
    <row r="44" spans="1:30" ht="21.95" customHeight="1">
      <c r="A44" s="550">
        <f>HGR.SAT!$B$108</f>
        <v>97</v>
      </c>
      <c r="B44" s="189">
        <f t="shared" si="16"/>
        <v>6</v>
      </c>
      <c r="C44" s="190"/>
      <c r="D44" s="191" t="str">
        <f>VLOOKUP($A44,HGR.SAT!$B$12:$M$150,2,0)</f>
        <v>Memasang dinding terawang ( roster ) camp  1 PC : 4 PP</v>
      </c>
      <c r="E44" s="191"/>
      <c r="F44" s="191"/>
      <c r="G44" s="193">
        <f>'BACK UP VOLUME'!T75</f>
        <v>20.25</v>
      </c>
      <c r="H44" s="194" t="str">
        <f>VLOOKUP($A44,HGR.SAT!$B$12:$M$150,7,0)</f>
        <v>m2</v>
      </c>
      <c r="I44" s="195" t="str">
        <f>VLOOKUP($A44,HGR.SAT!$B$12:$M$150,5,0)</f>
        <v>A.4.4.1.23.</v>
      </c>
      <c r="J44" s="196">
        <f>VLOOKUP($A44,HGR.SAT!$B$12:$M$150,6,0)</f>
        <v>464895.2</v>
      </c>
      <c r="K44" s="197">
        <f t="shared" ref="K44:K45" si="21">ROUND((G44*J44),2)</f>
        <v>9414127.8000000007</v>
      </c>
      <c r="L44" s="197"/>
      <c r="M44" s="199">
        <f>VLOOKUP($A44,HGR.SAT!$B$12:$K$144,8,0)</f>
        <v>0.99655975884457404</v>
      </c>
      <c r="N44" s="200">
        <f t="shared" ref="N44:N45" si="22">M44*K44</f>
        <v>9381740.9301000014</v>
      </c>
      <c r="O44" s="201">
        <f t="shared" ref="O44:O45" si="23">K44-N44</f>
        <v>32386.86989999935</v>
      </c>
      <c r="T44" s="146"/>
      <c r="U44" s="146"/>
      <c r="Z44" s="132"/>
      <c r="AA44" s="132"/>
      <c r="AB44" s="132"/>
      <c r="AD44" s="202"/>
    </row>
    <row r="45" spans="1:30" ht="21.95" customHeight="1">
      <c r="A45" s="550">
        <f>HGR.SAT!$B$60</f>
        <v>49</v>
      </c>
      <c r="B45" s="189">
        <f t="shared" si="16"/>
        <v>7</v>
      </c>
      <c r="C45" s="190"/>
      <c r="D45" s="191" t="str">
        <f>VLOOKUP($A45,HGR.SAT!$B$12:$M$150,2,0)</f>
        <v>Memasang lantai granit tile ( 60 x 60 ) cm</v>
      </c>
      <c r="E45" s="191"/>
      <c r="F45" s="574"/>
      <c r="G45" s="193">
        <f>'BACK UP VOLUME'!T83</f>
        <v>35.42</v>
      </c>
      <c r="H45" s="194" t="str">
        <f>VLOOKUP($A45,HGR.SAT!$B$12:$M$150,7,0)</f>
        <v>m2</v>
      </c>
      <c r="I45" s="195" t="str">
        <f>VLOOKUP($A45,HGR.SAT!$B$12:$M$150,5,0)</f>
        <v>An. Dihitung</v>
      </c>
      <c r="J45" s="196">
        <f>VLOOKUP($A45,HGR.SAT!$B$12:$M$150,6,0)</f>
        <v>259540.37</v>
      </c>
      <c r="K45" s="197">
        <f t="shared" si="21"/>
        <v>9192919.9100000001</v>
      </c>
      <c r="L45" s="197"/>
      <c r="M45" s="199">
        <f>VLOOKUP($A45,HGR.SAT!$B$12:$K$144,8,0)</f>
        <v>0.70817793241922466</v>
      </c>
      <c r="N45" s="200">
        <f t="shared" si="22"/>
        <v>6510223.0147593254</v>
      </c>
      <c r="O45" s="201">
        <f t="shared" si="23"/>
        <v>2682696.8952406747</v>
      </c>
      <c r="T45" s="146"/>
      <c r="U45" s="146"/>
      <c r="Z45" s="132"/>
      <c r="AA45" s="132"/>
      <c r="AB45" s="132"/>
      <c r="AD45" s="202"/>
    </row>
    <row r="46" spans="1:30" ht="21.95" customHeight="1">
      <c r="A46" s="550">
        <f>HGR.SAT!$B$61</f>
        <v>50</v>
      </c>
      <c r="B46" s="189">
        <f t="shared" si="16"/>
        <v>8</v>
      </c>
      <c r="C46" s="190"/>
      <c r="D46" s="191" t="str">
        <f>VLOOKUP($A46,HGR.SAT!$B$12:$M$150,2,0)</f>
        <v>Memasang lantai granit tile ( 60 x 60 ) cm, texture</v>
      </c>
      <c r="E46" s="191"/>
      <c r="F46" s="191"/>
      <c r="G46" s="193">
        <f>'BACK UP VOLUME'!T87</f>
        <v>10.990000000000002</v>
      </c>
      <c r="H46" s="194" t="str">
        <f>VLOOKUP($A46,HGR.SAT!$B$12:$M$150,7,0)</f>
        <v>m2</v>
      </c>
      <c r="I46" s="195" t="str">
        <f>VLOOKUP($A46,HGR.SAT!$B$12:$M$150,5,0)</f>
        <v>An. Dihitung</v>
      </c>
      <c r="J46" s="196">
        <f>VLOOKUP($A46,HGR.SAT!$B$12:$M$150,6,0)</f>
        <v>305350.44999999995</v>
      </c>
      <c r="K46" s="197">
        <f t="shared" ref="K46" si="24">ROUND((G46*J46),2)</f>
        <v>3355801.45</v>
      </c>
      <c r="L46" s="197"/>
      <c r="M46" s="199">
        <f>VLOOKUP($A46,HGR.SAT!$B$12:$K$144,8,0)</f>
        <v>0.69367675699901776</v>
      </c>
      <c r="N46" s="200">
        <f t="shared" ref="N46" si="25">M46*K46</f>
        <v>2327841.4669686016</v>
      </c>
      <c r="O46" s="201">
        <f t="shared" ref="O46" si="26">K46-N46</f>
        <v>1027959.9830313986</v>
      </c>
      <c r="T46" s="146"/>
      <c r="U46" s="146"/>
      <c r="Z46" s="132"/>
      <c r="AA46" s="132"/>
      <c r="AB46" s="132"/>
      <c r="AD46" s="202"/>
    </row>
    <row r="47" spans="1:30" ht="21.95" customHeight="1">
      <c r="A47" s="550">
        <f>HGR.SAT!$B$62</f>
        <v>51</v>
      </c>
      <c r="B47" s="189">
        <f t="shared" si="16"/>
        <v>9</v>
      </c>
      <c r="C47" s="190"/>
      <c r="D47" s="191" t="str">
        <f>VLOOKUP($A47,HGR.SAT!$B$12:$M$150,2,0)</f>
        <v>Memasang dinding granit tile  uk. (60x60) cm (km, t.wudhu)</v>
      </c>
      <c r="E47" s="191"/>
      <c r="F47" s="191"/>
      <c r="G47" s="193">
        <f>'BACK UP VOLUME'!T96</f>
        <v>19.98</v>
      </c>
      <c r="H47" s="194" t="str">
        <f>VLOOKUP($A47,HGR.SAT!$B$12:$M$150,7,0)</f>
        <v>m2</v>
      </c>
      <c r="I47" s="195" t="str">
        <f>VLOOKUP($A47,HGR.SAT!$B$12:$M$150,5,0)</f>
        <v>An. Dihitung</v>
      </c>
      <c r="J47" s="196">
        <f>VLOOKUP($A47,HGR.SAT!$B$12:$M$150,6,0)</f>
        <v>269744.13</v>
      </c>
      <c r="K47" s="197">
        <f t="shared" ref="K47" si="27">ROUND((G47*J47),2)</f>
        <v>5389487.7199999997</v>
      </c>
      <c r="L47" s="197"/>
      <c r="M47" s="199">
        <f>VLOOKUP($A47,HGR.SAT!$B$12:$K$144,8,0)</f>
        <v>0.71980976122740892</v>
      </c>
      <c r="N47" s="200">
        <f t="shared" ref="N47" si="28">M47*K47</f>
        <v>3879405.8688712525</v>
      </c>
      <c r="O47" s="201">
        <f t="shared" ref="O47" si="29">K47-N47</f>
        <v>1510081.8511287472</v>
      </c>
      <c r="T47" s="146"/>
      <c r="U47" s="146"/>
      <c r="Z47" s="132"/>
      <c r="AA47" s="132"/>
      <c r="AB47" s="132"/>
      <c r="AD47" s="202"/>
    </row>
    <row r="48" spans="1:30" ht="21.95" customHeight="1">
      <c r="A48" s="550">
        <f>HGR.SAT!$B$56</f>
        <v>45</v>
      </c>
      <c r="B48" s="189">
        <f t="shared" si="16"/>
        <v>10</v>
      </c>
      <c r="C48" s="190"/>
      <c r="D48" s="191" t="str">
        <f>VLOOKUP($A48,HGR.SAT!$B$12:$M$150,2,0)</f>
        <v>Memasang plint lantai Granit tile uk. (10 x 60) cm</v>
      </c>
      <c r="E48" s="191"/>
      <c r="F48" s="574"/>
      <c r="G48" s="193">
        <f>'BACK UP VOLUME'!T98</f>
        <v>22</v>
      </c>
      <c r="H48" s="194" t="str">
        <f>VLOOKUP($A48,HGR.SAT!$B$12:$M$150,7,0)</f>
        <v>m'</v>
      </c>
      <c r="I48" s="195" t="str">
        <f>VLOOKUP($A48,HGR.SAT!$B$12:$M$150,5,0)</f>
        <v>A.4.4.3.28.a.</v>
      </c>
      <c r="J48" s="196">
        <f>VLOOKUP($A48,HGR.SAT!$B$12:$M$150,6,0)</f>
        <v>40992.559999999998</v>
      </c>
      <c r="K48" s="197">
        <f t="shared" ref="K48" si="30">ROUND((G48*J48),2)</f>
        <v>901836.32</v>
      </c>
      <c r="L48" s="197"/>
      <c r="M48" s="199">
        <f>VLOOKUP($A48,HGR.SAT!$B$12:$K$144,8,0)</f>
        <v>0.75778672559118054</v>
      </c>
      <c r="N48" s="200">
        <f t="shared" ref="N48" si="31">M48*K48</f>
        <v>683399.59195200005</v>
      </c>
      <c r="O48" s="201">
        <f t="shared" ref="O48" si="32">K48-N48</f>
        <v>218436.7280479999</v>
      </c>
      <c r="T48" s="146"/>
      <c r="U48" s="146"/>
      <c r="Z48" s="132"/>
      <c r="AA48" s="132"/>
      <c r="AB48" s="132"/>
      <c r="AD48" s="202"/>
    </row>
    <row r="49" spans="1:30" ht="21.95" customHeight="1">
      <c r="B49" s="189"/>
      <c r="C49" s="190"/>
      <c r="D49" s="191"/>
      <c r="E49" s="191"/>
      <c r="F49" s="191"/>
      <c r="G49" s="193"/>
      <c r="H49" s="194"/>
      <c r="I49" s="195"/>
      <c r="J49" s="196"/>
      <c r="K49" s="197"/>
      <c r="L49" s="197"/>
      <c r="M49" s="199"/>
      <c r="N49" s="200"/>
      <c r="O49" s="201"/>
      <c r="T49" s="146"/>
      <c r="U49" s="146"/>
      <c r="Z49" s="132"/>
      <c r="AA49" s="132"/>
      <c r="AB49" s="132"/>
      <c r="AD49" s="202"/>
    </row>
    <row r="50" spans="1:30" ht="21.95" customHeight="1">
      <c r="B50" s="215"/>
      <c r="C50" s="216"/>
      <c r="D50" s="217"/>
      <c r="E50" s="217"/>
      <c r="F50" s="218"/>
      <c r="G50" s="219"/>
      <c r="H50" s="220"/>
      <c r="I50" s="221"/>
      <c r="J50" s="222"/>
      <c r="K50" s="223" t="s">
        <v>531</v>
      </c>
      <c r="L50" s="224">
        <f>SUM(K39:K50)</f>
        <v>77023849.919999987</v>
      </c>
      <c r="M50" s="225">
        <f>N50/L50</f>
        <v>0.91544030171360014</v>
      </c>
      <c r="N50" s="226">
        <f>SUM(N39:N49)</f>
        <v>70510736.409907848</v>
      </c>
      <c r="O50" s="227">
        <f>SUM(O39:O49)</f>
        <v>6513113.5100921514</v>
      </c>
      <c r="T50" s="146"/>
      <c r="U50" s="146"/>
      <c r="Z50" s="132"/>
      <c r="AA50" s="132"/>
      <c r="AB50" s="132"/>
      <c r="AD50" s="202"/>
    </row>
    <row r="51" spans="1:30" ht="21.95" customHeight="1">
      <c r="B51" s="239" t="s">
        <v>300</v>
      </c>
      <c r="C51" s="240"/>
      <c r="D51" s="241" t="s">
        <v>46</v>
      </c>
      <c r="E51" s="191"/>
      <c r="F51" s="191"/>
      <c r="G51" s="193"/>
      <c r="H51" s="194"/>
      <c r="I51" s="195"/>
      <c r="J51" s="196"/>
      <c r="K51" s="197"/>
      <c r="L51" s="197"/>
      <c r="M51" s="199"/>
      <c r="N51" s="200"/>
      <c r="O51" s="201"/>
      <c r="T51" s="146"/>
      <c r="U51" s="146"/>
      <c r="Z51" s="132"/>
      <c r="AA51" s="132"/>
      <c r="AB51" s="132"/>
      <c r="AD51" s="202"/>
    </row>
    <row r="52" spans="1:30" ht="21.95" customHeight="1">
      <c r="B52" s="239"/>
      <c r="C52" s="240"/>
      <c r="D52" s="241" t="s">
        <v>683</v>
      </c>
      <c r="E52" s="191"/>
      <c r="F52" s="191"/>
      <c r="G52" s="193"/>
      <c r="H52" s="194"/>
      <c r="I52" s="195"/>
      <c r="J52" s="196"/>
      <c r="K52" s="197"/>
      <c r="L52" s="197"/>
      <c r="M52" s="199"/>
      <c r="N52" s="200"/>
      <c r="O52" s="201"/>
      <c r="T52" s="146"/>
      <c r="U52" s="146"/>
      <c r="Z52" s="132"/>
      <c r="AA52" s="132"/>
      <c r="AB52" s="132"/>
      <c r="AD52" s="202"/>
    </row>
    <row r="53" spans="1:30" ht="21.95" customHeight="1">
      <c r="A53" s="550">
        <f>HGR.SAT!$B$31</f>
        <v>20</v>
      </c>
      <c r="B53" s="189">
        <v>1</v>
      </c>
      <c r="C53" s="190"/>
      <c r="D53" s="191" t="str">
        <f>VLOOKUP($A53,HGR.SAT!$B$12:$M$150,2,0)</f>
        <v>Membuat lantai kerja beton mutu f'c = 7,4 Mpa slump (3-6) cm, w/c = 0,87</v>
      </c>
      <c r="E53" s="191"/>
      <c r="F53" s="246"/>
      <c r="G53" s="193">
        <f>'BACK UP VOLUME'!T102</f>
        <v>2.25</v>
      </c>
      <c r="H53" s="194" t="str">
        <f>VLOOKUP($A53,HGR.SAT!$B$12:$M$150,7,0)</f>
        <v>m3</v>
      </c>
      <c r="I53" s="195" t="str">
        <f>VLOOKUP($A53,HGR.SAT!$B$12:$M$150,5,0)</f>
        <v>A.4.1.1.4.</v>
      </c>
      <c r="J53" s="196">
        <f>VLOOKUP($A53,HGR.SAT!$B$12:$M$150,6,0)</f>
        <v>1044137.92</v>
      </c>
      <c r="K53" s="197">
        <f t="shared" ref="K53:K55" si="33">ROUND((G53*J53),2)</f>
        <v>2349310.3199999998</v>
      </c>
      <c r="L53" s="197"/>
      <c r="M53" s="199">
        <f>VLOOKUP($A53,HGR.SAT!$B$12:$K$144,8,0)</f>
        <v>0.96560539320322747</v>
      </c>
      <c r="N53" s="200">
        <f>M53*K53</f>
        <v>2268506.7152999998</v>
      </c>
      <c r="O53" s="201">
        <f>K53-N53</f>
        <v>80803.604700000025</v>
      </c>
      <c r="T53" s="146"/>
      <c r="U53" s="146"/>
      <c r="Z53" s="132"/>
      <c r="AA53" s="132"/>
      <c r="AB53" s="132"/>
      <c r="AD53" s="202"/>
    </row>
    <row r="54" spans="1:30" ht="21.95" customHeight="1">
      <c r="B54" s="189"/>
      <c r="C54" s="190"/>
      <c r="D54" s="247" t="s">
        <v>684</v>
      </c>
      <c r="E54" s="191"/>
      <c r="F54" s="246"/>
      <c r="G54" s="193"/>
      <c r="H54" s="194"/>
      <c r="I54" s="195"/>
      <c r="J54" s="196"/>
      <c r="K54" s="197"/>
      <c r="L54" s="197"/>
      <c r="M54" s="199"/>
      <c r="N54" s="200"/>
      <c r="O54" s="201"/>
      <c r="T54" s="146"/>
      <c r="U54" s="146"/>
      <c r="Z54" s="132"/>
      <c r="AA54" s="132"/>
      <c r="AB54" s="132"/>
      <c r="AD54" s="202"/>
    </row>
    <row r="55" spans="1:30" ht="21.95" customHeight="1">
      <c r="A55" s="550">
        <f>HGR.SAT!$B$33</f>
        <v>22</v>
      </c>
      <c r="B55" s="189">
        <f>B53+1</f>
        <v>2</v>
      </c>
      <c r="C55" s="190"/>
      <c r="D55" s="191" t="str">
        <f>VLOOKUP($A55,HGR.SAT!$B$12:$M$150,2,0)</f>
        <v>Pembuatan 1 m3 Beton Mutu f'=14,5 Mpa (K175)</v>
      </c>
      <c r="E55" s="191"/>
      <c r="F55" s="246"/>
      <c r="G55" s="193">
        <f>'BACK UP VOLUME'!T104</f>
        <v>0.94320000000000004</v>
      </c>
      <c r="H55" s="194" t="str">
        <f>VLOOKUP($A55,HGR.SAT!$B$12:$M$150,7,0)</f>
        <v>m3</v>
      </c>
      <c r="I55" s="195" t="str">
        <f>VLOOKUP($A55,HGR.SAT!$B$12:$M$150,5,0)</f>
        <v>A.4.1.1.5.</v>
      </c>
      <c r="J55" s="196">
        <f>VLOOKUP($A55,HGR.SAT!$B$12:$M$150,6,0)</f>
        <v>1152774.81</v>
      </c>
      <c r="K55" s="197">
        <f t="shared" si="33"/>
        <v>1087297.2</v>
      </c>
      <c r="L55" s="197"/>
      <c r="M55" s="199">
        <f>VLOOKUP($A55,HGR.SAT!$B$12:$K$144,8,0)</f>
        <v>0.95888271903857591</v>
      </c>
      <c r="N55" s="200">
        <f>M55*K55</f>
        <v>1042590.4955390303</v>
      </c>
      <c r="O55" s="201">
        <f>K55-N55</f>
        <v>44706.70446096966</v>
      </c>
      <c r="T55" s="146"/>
      <c r="U55" s="146"/>
      <c r="Z55" s="132"/>
      <c r="AA55" s="132"/>
      <c r="AB55" s="132"/>
      <c r="AD55" s="202"/>
    </row>
    <row r="56" spans="1:30" ht="21.95" customHeight="1">
      <c r="A56" s="550">
        <f>HGR.SAT!$B$35</f>
        <v>24</v>
      </c>
      <c r="B56" s="189">
        <f t="shared" ref="B56:B57" si="34">B55+1</f>
        <v>3</v>
      </c>
      <c r="C56" s="190"/>
      <c r="D56" s="191" t="str">
        <f>VLOOKUP($A56,HGR.SAT!$B$12:$M$150,2,0)</f>
        <v>Pembesian 1 kg dengan besi polos atau besi ulir</v>
      </c>
      <c r="E56" s="191"/>
      <c r="F56" s="246"/>
      <c r="G56" s="193">
        <f>'BACK UP VOLUME'!T106</f>
        <v>146.46830184000004</v>
      </c>
      <c r="H56" s="194" t="str">
        <f>VLOOKUP($A56,HGR.SAT!$B$12:$M$150,7,0)</f>
        <v>kg</v>
      </c>
      <c r="I56" s="195" t="str">
        <f>VLOOKUP($A56,HGR.SAT!$B$12:$M$150,5,0)</f>
        <v>A.4.1.1.17.</v>
      </c>
      <c r="J56" s="196">
        <f>VLOOKUP($A56,HGR.SAT!$B$12:$M$150,6,0)</f>
        <v>17605.28</v>
      </c>
      <c r="K56" s="197">
        <f t="shared" ref="K56:K57" si="35">ROUND((G56*J56),2)</f>
        <v>2578615.4700000002</v>
      </c>
      <c r="L56" s="197"/>
      <c r="M56" s="199">
        <f>VLOOKUP($A56,HGR.SAT!$B$12:$K$144,8,0)</f>
        <v>0.19980447627075515</v>
      </c>
      <c r="N56" s="200">
        <f>M56*K56</f>
        <v>515218.91348701715</v>
      </c>
      <c r="O56" s="201">
        <f>K56-N56</f>
        <v>2063396.5565129831</v>
      </c>
      <c r="T56" s="146"/>
      <c r="U56" s="146"/>
      <c r="Z56" s="132"/>
      <c r="AA56" s="132"/>
      <c r="AB56" s="132"/>
      <c r="AD56" s="202"/>
    </row>
    <row r="57" spans="1:30" ht="21.95" customHeight="1">
      <c r="A57" s="550">
        <f>HGR.SAT!$B$42</f>
        <v>31</v>
      </c>
      <c r="B57" s="189">
        <f t="shared" si="34"/>
        <v>4</v>
      </c>
      <c r="C57" s="190"/>
      <c r="D57" s="191" t="str">
        <f>VLOOKUP($A57,HGR.SAT!$B$12:$M$150,2,0)</f>
        <v>Memasang bekisting</v>
      </c>
      <c r="E57" s="191"/>
      <c r="F57" s="246"/>
      <c r="G57" s="193">
        <f>'BACK UP VOLUME'!T108</f>
        <v>15.720000000000002</v>
      </c>
      <c r="H57" s="194" t="str">
        <f>VLOOKUP($A57,HGR.SAT!$B$12:$M$150,7,0)</f>
        <v>m2</v>
      </c>
      <c r="I57" s="195" t="str">
        <f>VLOOKUP($A57,HGR.SAT!$B$12:$M$150,5,0)</f>
        <v>Dihitung</v>
      </c>
      <c r="J57" s="196">
        <f>VLOOKUP($A57,HGR.SAT!$B$12:$M$150,6,0)</f>
        <v>138920.04</v>
      </c>
      <c r="K57" s="197">
        <f t="shared" si="35"/>
        <v>2183823.0299999998</v>
      </c>
      <c r="L57" s="197"/>
      <c r="M57" s="199">
        <f>VLOOKUP($A57,HGR.SAT!$B$12:$K$144,8,0)</f>
        <v>0.95154622759970409</v>
      </c>
      <c r="N57" s="200">
        <f>M57*K57</f>
        <v>2078008.5659418553</v>
      </c>
      <c r="O57" s="201">
        <f>K57-N57</f>
        <v>105814.46405814448</v>
      </c>
      <c r="T57" s="146"/>
      <c r="U57" s="146"/>
      <c r="Z57" s="132"/>
      <c r="AA57" s="132"/>
      <c r="AB57" s="132"/>
      <c r="AD57" s="202"/>
    </row>
    <row r="58" spans="1:30" ht="21.95" customHeight="1">
      <c r="B58" s="189"/>
      <c r="C58" s="190"/>
      <c r="D58" s="247" t="s">
        <v>685</v>
      </c>
      <c r="E58" s="191"/>
      <c r="F58" s="246"/>
      <c r="G58" s="193"/>
      <c r="H58" s="194"/>
      <c r="I58" s="195"/>
      <c r="J58" s="196"/>
      <c r="K58" s="197"/>
      <c r="L58" s="197"/>
      <c r="M58" s="199"/>
      <c r="N58" s="200"/>
      <c r="O58" s="201"/>
      <c r="T58" s="146"/>
      <c r="U58" s="146"/>
      <c r="Z58" s="132"/>
      <c r="AA58" s="132"/>
      <c r="AB58" s="132"/>
      <c r="AD58" s="202"/>
    </row>
    <row r="59" spans="1:30" ht="21.95" customHeight="1">
      <c r="A59" s="550">
        <f>HGR.SAT!$B$33</f>
        <v>22</v>
      </c>
      <c r="B59" s="189">
        <f>B57+1</f>
        <v>5</v>
      </c>
      <c r="C59" s="190"/>
      <c r="D59" s="191" t="str">
        <f>VLOOKUP($A59,HGR.SAT!$B$12:$M$150,2,0)</f>
        <v>Pembuatan 1 m3 Beton Mutu f'=14,5 Mpa (K175)</v>
      </c>
      <c r="E59" s="191"/>
      <c r="F59" s="246"/>
      <c r="G59" s="193">
        <f>'BACK UP VOLUME'!T110</f>
        <v>1.1519999999999999</v>
      </c>
      <c r="H59" s="194" t="str">
        <f>VLOOKUP($A59,HGR.SAT!$B$12:$M$150,7,0)</f>
        <v>m3</v>
      </c>
      <c r="I59" s="195" t="str">
        <f>VLOOKUP($A59,HGR.SAT!$B$12:$M$150,5,0)</f>
        <v>A.4.1.1.5.</v>
      </c>
      <c r="J59" s="196">
        <f>VLOOKUP($A59,HGR.SAT!$B$12:$M$150,6,0)</f>
        <v>1152774.81</v>
      </c>
      <c r="K59" s="197">
        <f t="shared" ref="K59:K65" si="36">ROUND((G59*J59),2)</f>
        <v>1327996.58</v>
      </c>
      <c r="L59" s="197"/>
      <c r="M59" s="199">
        <f>VLOOKUP($A59,HGR.SAT!$B$12:$K$144,8,0)</f>
        <v>0.95888271903857591</v>
      </c>
      <c r="N59" s="200">
        <f>M59*K59</f>
        <v>1273392.9715043297</v>
      </c>
      <c r="O59" s="201">
        <f>K59-N59</f>
        <v>54603.608495670371</v>
      </c>
      <c r="T59" s="146"/>
      <c r="U59" s="146"/>
      <c r="Z59" s="132"/>
      <c r="AA59" s="132"/>
      <c r="AB59" s="132"/>
      <c r="AD59" s="202"/>
    </row>
    <row r="60" spans="1:30" ht="21.95" customHeight="1">
      <c r="A60" s="550">
        <f>HGR.SAT!$B$35</f>
        <v>24</v>
      </c>
      <c r="B60" s="189">
        <f t="shared" ref="B60:B61" si="37">B59+1</f>
        <v>6</v>
      </c>
      <c r="C60" s="190"/>
      <c r="D60" s="191" t="str">
        <f>VLOOKUP($A60,HGR.SAT!$B$12:$M$150,2,0)</f>
        <v>Pembesian 1 kg dengan besi polos atau besi ulir</v>
      </c>
      <c r="E60" s="191"/>
      <c r="F60" s="246"/>
      <c r="G60" s="193">
        <f>'BACK UP VOLUME'!T112</f>
        <v>125.01972800000001</v>
      </c>
      <c r="H60" s="194" t="str">
        <f>VLOOKUP($A60,HGR.SAT!$B$12:$M$150,7,0)</f>
        <v>kg</v>
      </c>
      <c r="I60" s="195" t="str">
        <f>VLOOKUP($A60,HGR.SAT!$B$12:$M$150,5,0)</f>
        <v>A.4.1.1.17.</v>
      </c>
      <c r="J60" s="196">
        <f>VLOOKUP($A60,HGR.SAT!$B$12:$M$150,6,0)</f>
        <v>17605.28</v>
      </c>
      <c r="K60" s="197">
        <f t="shared" si="36"/>
        <v>2201007.3199999998</v>
      </c>
      <c r="L60" s="197"/>
      <c r="M60" s="199">
        <f>VLOOKUP($A60,HGR.SAT!$B$12:$K$144,8,0)</f>
        <v>0.19980447627075515</v>
      </c>
      <c r="N60" s="200">
        <f>M60*K60</f>
        <v>439771.11484069837</v>
      </c>
      <c r="O60" s="201">
        <f>K60-N60</f>
        <v>1761236.2051593014</v>
      </c>
      <c r="T60" s="146"/>
      <c r="U60" s="146"/>
      <c r="Z60" s="132"/>
      <c r="AA60" s="132"/>
      <c r="AB60" s="132"/>
      <c r="AD60" s="202"/>
    </row>
    <row r="61" spans="1:30" ht="21.95" customHeight="1">
      <c r="A61" s="550">
        <f>HGR.SAT!B42</f>
        <v>31</v>
      </c>
      <c r="B61" s="189">
        <f t="shared" si="37"/>
        <v>7</v>
      </c>
      <c r="C61" s="190"/>
      <c r="D61" s="191" t="str">
        <f>VLOOKUP($A61,HGR.SAT!$B$12:$M$150,2,0)</f>
        <v>Memasang bekisting</v>
      </c>
      <c r="E61" s="191"/>
      <c r="F61" s="246"/>
      <c r="G61" s="193">
        <f>'BACK UP VOLUME'!T115</f>
        <v>19.2</v>
      </c>
      <c r="H61" s="194" t="str">
        <f>VLOOKUP($A61,HGR.SAT!$B$12:$M$150,7,0)</f>
        <v>m2</v>
      </c>
      <c r="I61" s="195" t="str">
        <f>VLOOKUP($A61,HGR.SAT!$B$12:$M$150,5,0)</f>
        <v>Dihitung</v>
      </c>
      <c r="J61" s="196">
        <f>VLOOKUP($A61,HGR.SAT!$B$12:$M$150,6,0)</f>
        <v>138920.04</v>
      </c>
      <c r="K61" s="197">
        <f t="shared" si="36"/>
        <v>2667264.77</v>
      </c>
      <c r="L61" s="197"/>
      <c r="M61" s="199">
        <f>VLOOKUP($A61,HGR.SAT!$B$12:$K$144,8,0)</f>
        <v>0.95154622759970409</v>
      </c>
      <c r="N61" s="200">
        <f>M61*K61</f>
        <v>2538025.7299030926</v>
      </c>
      <c r="O61" s="201">
        <f>K61-N61</f>
        <v>129239.04009690741</v>
      </c>
      <c r="T61" s="146"/>
      <c r="U61" s="146"/>
      <c r="Z61" s="132"/>
      <c r="AA61" s="132"/>
      <c r="AB61" s="132"/>
      <c r="AD61" s="202"/>
    </row>
    <row r="62" spans="1:30" ht="21.95" customHeight="1">
      <c r="B62" s="189"/>
      <c r="C62" s="190"/>
      <c r="D62" s="247" t="s">
        <v>686</v>
      </c>
      <c r="E62" s="191"/>
      <c r="F62" s="246"/>
      <c r="G62" s="193"/>
      <c r="H62" s="194"/>
      <c r="I62" s="195"/>
      <c r="J62" s="196"/>
      <c r="K62" s="197"/>
      <c r="L62" s="197"/>
      <c r="M62" s="199"/>
      <c r="N62" s="200"/>
      <c r="O62" s="201"/>
      <c r="T62" s="146"/>
      <c r="U62" s="146"/>
      <c r="Z62" s="132"/>
      <c r="AA62" s="132"/>
      <c r="AB62" s="132"/>
      <c r="AD62" s="202"/>
    </row>
    <row r="63" spans="1:30" ht="21.75" customHeight="1">
      <c r="A63" s="550">
        <f>HGR.SAT!$B$33</f>
        <v>22</v>
      </c>
      <c r="B63" s="189">
        <f>B61+1</f>
        <v>8</v>
      </c>
      <c r="C63" s="190"/>
      <c r="D63" s="191" t="str">
        <f>VLOOKUP($A63,HGR.SAT!$B$12:$M$150,2,0)</f>
        <v>Pembuatan 1 m3 Beton Mutu f'=14,5 Mpa (K175)</v>
      </c>
      <c r="E63" s="192"/>
      <c r="F63" s="246"/>
      <c r="G63" s="193">
        <f>'BACK UP VOLUME'!T117</f>
        <v>0.94320000000000004</v>
      </c>
      <c r="H63" s="194" t="str">
        <f>VLOOKUP($A63,HGR.SAT!$B$12:$M$150,7,0)</f>
        <v>m3</v>
      </c>
      <c r="I63" s="195" t="str">
        <f>VLOOKUP($A63,HGR.SAT!$B$12:$M$150,5,0)</f>
        <v>A.4.1.1.5.</v>
      </c>
      <c r="J63" s="196">
        <f>VLOOKUP($A63,HGR.SAT!$B$12:$M$150,6,0)</f>
        <v>1152774.81</v>
      </c>
      <c r="K63" s="197">
        <f t="shared" si="36"/>
        <v>1087297.2</v>
      </c>
      <c r="L63" s="197"/>
      <c r="M63" s="199">
        <f>VLOOKUP($A63,HGR.SAT!$B$12:$K$144,8,0)</f>
        <v>0.95888271903857591</v>
      </c>
      <c r="N63" s="200">
        <f>M63*K63</f>
        <v>1042590.4955390303</v>
      </c>
      <c r="O63" s="201">
        <f>K63-N63</f>
        <v>44706.70446096966</v>
      </c>
      <c r="T63" s="146"/>
      <c r="U63" s="146"/>
      <c r="Z63" s="132"/>
      <c r="AA63" s="132"/>
      <c r="AB63" s="132"/>
      <c r="AD63" s="202"/>
    </row>
    <row r="64" spans="1:30" ht="21.95" customHeight="1">
      <c r="A64" s="550">
        <f>HGR.SAT!$B$35</f>
        <v>24</v>
      </c>
      <c r="B64" s="189">
        <f t="shared" ref="B64:B65" si="38">B63+1</f>
        <v>9</v>
      </c>
      <c r="C64" s="190"/>
      <c r="D64" s="191" t="str">
        <f>VLOOKUP($A64,HGR.SAT!$B$12:$M$150,2,0)</f>
        <v>Pembesian 1 kg dengan besi polos atau besi ulir</v>
      </c>
      <c r="E64" s="192"/>
      <c r="F64" s="246"/>
      <c r="G64" s="193">
        <f>'BACK UP VOLUME'!T119</f>
        <v>146.46830184000004</v>
      </c>
      <c r="H64" s="194" t="str">
        <f>VLOOKUP($A64,HGR.SAT!$B$12:$M$150,7,0)</f>
        <v>kg</v>
      </c>
      <c r="I64" s="195" t="str">
        <f>VLOOKUP($A64,HGR.SAT!$B$12:$M$150,5,0)</f>
        <v>A.4.1.1.17.</v>
      </c>
      <c r="J64" s="196">
        <f>VLOOKUP($A64,HGR.SAT!$B$12:$M$150,6,0)</f>
        <v>17605.28</v>
      </c>
      <c r="K64" s="197">
        <f t="shared" si="36"/>
        <v>2578615.4700000002</v>
      </c>
      <c r="L64" s="197"/>
      <c r="M64" s="199">
        <f>VLOOKUP($A64,HGR.SAT!$B$12:$K$144,8,0)</f>
        <v>0.19980447627075515</v>
      </c>
      <c r="N64" s="200">
        <f>M64*K64</f>
        <v>515218.91348701715</v>
      </c>
      <c r="O64" s="201">
        <f>K64-N64</f>
        <v>2063396.5565129831</v>
      </c>
      <c r="T64" s="146"/>
      <c r="U64" s="146"/>
      <c r="Z64" s="132"/>
      <c r="AA64" s="132"/>
      <c r="AB64" s="132"/>
      <c r="AD64" s="202"/>
    </row>
    <row r="65" spans="1:30" ht="21.95" customHeight="1">
      <c r="A65" s="550">
        <f>HGR.SAT!B42</f>
        <v>31</v>
      </c>
      <c r="B65" s="189">
        <f t="shared" si="38"/>
        <v>10</v>
      </c>
      <c r="C65" s="190"/>
      <c r="D65" s="191" t="str">
        <f>VLOOKUP($A65,HGR.SAT!$B$12:$M$150,2,0)</f>
        <v>Memasang bekisting</v>
      </c>
      <c r="E65" s="191"/>
      <c r="F65" s="246"/>
      <c r="G65" s="193">
        <f>'BACK UP VOLUME'!T122</f>
        <v>15.720000000000002</v>
      </c>
      <c r="H65" s="194" t="str">
        <f>VLOOKUP($A65,HGR.SAT!$B$12:$M$150,7,0)</f>
        <v>m2</v>
      </c>
      <c r="I65" s="195" t="str">
        <f>VLOOKUP($A65,HGR.SAT!$B$12:$M$150,5,0)</f>
        <v>Dihitung</v>
      </c>
      <c r="J65" s="196">
        <f>VLOOKUP($A65,HGR.SAT!$B$12:$M$150,6,0)</f>
        <v>138920.04</v>
      </c>
      <c r="K65" s="197">
        <f t="shared" si="36"/>
        <v>2183823.0299999998</v>
      </c>
      <c r="L65" s="197"/>
      <c r="M65" s="199">
        <f>VLOOKUP($A65,HGR.SAT!$B$12:$K$144,8,0)</f>
        <v>0.95154622759970409</v>
      </c>
      <c r="N65" s="200">
        <f>M65*K65</f>
        <v>2078008.5659418553</v>
      </c>
      <c r="O65" s="201">
        <f>K65-N65</f>
        <v>105814.46405814448</v>
      </c>
      <c r="T65" s="146"/>
      <c r="U65" s="146"/>
      <c r="Z65" s="132"/>
      <c r="AA65" s="132"/>
      <c r="AB65" s="132"/>
      <c r="AD65" s="202"/>
    </row>
    <row r="66" spans="1:30" ht="21.95" customHeight="1">
      <c r="B66" s="189"/>
      <c r="C66" s="190"/>
      <c r="D66" s="247" t="s">
        <v>687</v>
      </c>
      <c r="E66" s="191"/>
      <c r="F66" s="246"/>
      <c r="G66" s="193"/>
      <c r="H66" s="194"/>
      <c r="I66" s="195"/>
      <c r="J66" s="196"/>
      <c r="K66" s="197"/>
      <c r="L66" s="197"/>
      <c r="M66" s="199"/>
      <c r="N66" s="200"/>
      <c r="O66" s="201"/>
      <c r="T66" s="146"/>
      <c r="U66" s="146"/>
      <c r="Z66" s="132"/>
      <c r="AA66" s="132"/>
      <c r="AB66" s="132"/>
      <c r="AD66" s="202"/>
    </row>
    <row r="67" spans="1:30" ht="21.75" customHeight="1">
      <c r="A67" s="550">
        <f>HGR.SAT!$B$33</f>
        <v>22</v>
      </c>
      <c r="B67" s="189">
        <f>B65+1</f>
        <v>11</v>
      </c>
      <c r="C67" s="190"/>
      <c r="D67" s="191" t="str">
        <f>VLOOKUP($A67,HGR.SAT!$B$12:$M$150,2,0)</f>
        <v>Pembuatan 1 m3 Beton Mutu f'=14,5 Mpa (K175)</v>
      </c>
      <c r="E67" s="192"/>
      <c r="F67" s="246"/>
      <c r="G67" s="193">
        <f>'BACK UP VOLUME'!T124</f>
        <v>0.57528000000000001</v>
      </c>
      <c r="H67" s="194" t="str">
        <f>VLOOKUP($A67,HGR.SAT!$B$12:$M$150,7,0)</f>
        <v>m3</v>
      </c>
      <c r="I67" s="195" t="str">
        <f>VLOOKUP($A67,HGR.SAT!$B$12:$M$150,5,0)</f>
        <v>A.4.1.1.5.</v>
      </c>
      <c r="J67" s="196">
        <f>VLOOKUP($A67,HGR.SAT!$B$12:$M$150,6,0)</f>
        <v>1152774.81</v>
      </c>
      <c r="K67" s="197">
        <f t="shared" ref="K67:K69" si="39">ROUND((G67*J67),2)</f>
        <v>663168.29</v>
      </c>
      <c r="L67" s="197"/>
      <c r="M67" s="199">
        <f>VLOOKUP($A67,HGR.SAT!$B$12:$K$144,8,0)</f>
        <v>0.95888271903857591</v>
      </c>
      <c r="N67" s="200">
        <f>M67*K67</f>
        <v>635900.6130953629</v>
      </c>
      <c r="O67" s="201">
        <f>K67-N67</f>
        <v>27267.676904637134</v>
      </c>
      <c r="T67" s="146"/>
      <c r="U67" s="146"/>
      <c r="Z67" s="132"/>
      <c r="AA67" s="132"/>
      <c r="AB67" s="132"/>
      <c r="AD67" s="202"/>
    </row>
    <row r="68" spans="1:30" ht="21.95" customHeight="1">
      <c r="A68" s="550">
        <f>HGR.SAT!$B$35</f>
        <v>24</v>
      </c>
      <c r="B68" s="189">
        <f t="shared" ref="B68:B69" si="40">B67+1</f>
        <v>12</v>
      </c>
      <c r="C68" s="190"/>
      <c r="D68" s="191" t="str">
        <f>VLOOKUP($A68,HGR.SAT!$B$12:$M$150,2,0)</f>
        <v>Pembesian 1 kg dengan besi polos atau besi ulir</v>
      </c>
      <c r="E68" s="192"/>
      <c r="F68" s="246"/>
      <c r="G68" s="193">
        <f>'BACK UP VOLUME'!T131</f>
        <v>136.28629292000005</v>
      </c>
      <c r="H68" s="194" t="str">
        <f>VLOOKUP($A68,HGR.SAT!$B$12:$M$150,7,0)</f>
        <v>kg</v>
      </c>
      <c r="I68" s="195" t="str">
        <f>VLOOKUP($A68,HGR.SAT!$B$12:$M$150,5,0)</f>
        <v>A.4.1.1.17.</v>
      </c>
      <c r="J68" s="196">
        <f>VLOOKUP($A68,HGR.SAT!$B$12:$M$150,6,0)</f>
        <v>17605.28</v>
      </c>
      <c r="K68" s="197">
        <f t="shared" si="39"/>
        <v>2399358.35</v>
      </c>
      <c r="L68" s="197"/>
      <c r="M68" s="199">
        <f>VLOOKUP($A68,HGR.SAT!$B$12:$K$144,8,0)</f>
        <v>0.19980447627075515</v>
      </c>
      <c r="N68" s="200">
        <f>M68*K68</f>
        <v>479402.53850761324</v>
      </c>
      <c r="O68" s="201">
        <f>K68-N68</f>
        <v>1919955.8114923867</v>
      </c>
      <c r="T68" s="146"/>
      <c r="U68" s="146"/>
      <c r="Z68" s="132"/>
      <c r="AA68" s="132"/>
      <c r="AB68" s="132"/>
      <c r="AD68" s="202"/>
    </row>
    <row r="69" spans="1:30" ht="21.95" customHeight="1">
      <c r="A69" s="550">
        <f>HGR.SAT!B42</f>
        <v>31</v>
      </c>
      <c r="B69" s="189">
        <f t="shared" si="40"/>
        <v>13</v>
      </c>
      <c r="C69" s="190"/>
      <c r="D69" s="191" t="str">
        <f>VLOOKUP($A69,HGR.SAT!$B$12:$M$150,2,0)</f>
        <v>Memasang bekisting</v>
      </c>
      <c r="E69" s="191"/>
      <c r="F69" s="246"/>
      <c r="G69" s="193">
        <f>'BACK UP VOLUME'!T132</f>
        <v>9.588000000000001</v>
      </c>
      <c r="H69" s="194" t="str">
        <f>VLOOKUP($A69,HGR.SAT!$B$12:$M$150,7,0)</f>
        <v>m2</v>
      </c>
      <c r="I69" s="195" t="str">
        <f>VLOOKUP($A69,HGR.SAT!$B$12:$M$150,5,0)</f>
        <v>Dihitung</v>
      </c>
      <c r="J69" s="196">
        <f>VLOOKUP($A69,HGR.SAT!$B$12:$M$150,6,0)</f>
        <v>138920.04</v>
      </c>
      <c r="K69" s="197">
        <f t="shared" si="39"/>
        <v>1331965.3400000001</v>
      </c>
      <c r="L69" s="197"/>
      <c r="M69" s="199">
        <f>VLOOKUP($A69,HGR.SAT!$B$12:$K$144,8,0)</f>
        <v>0.95154622759970409</v>
      </c>
      <c r="N69" s="200">
        <f>M69*K69</f>
        <v>1267426.5945705574</v>
      </c>
      <c r="O69" s="201">
        <f>K69-N69</f>
        <v>64538.74542944273</v>
      </c>
      <c r="T69" s="146"/>
      <c r="U69" s="146"/>
      <c r="Z69" s="132"/>
      <c r="AA69" s="132"/>
      <c r="AB69" s="132"/>
      <c r="AD69" s="202"/>
    </row>
    <row r="70" spans="1:30" ht="21.95" customHeight="1">
      <c r="B70" s="189"/>
      <c r="C70" s="190"/>
      <c r="D70" s="247" t="s">
        <v>723</v>
      </c>
      <c r="E70" s="191"/>
      <c r="F70" s="246"/>
      <c r="G70" s="193"/>
      <c r="H70" s="194"/>
      <c r="I70" s="195"/>
      <c r="J70" s="196"/>
      <c r="K70" s="197"/>
      <c r="L70" s="197"/>
      <c r="M70" s="199"/>
      <c r="N70" s="200"/>
      <c r="O70" s="201"/>
      <c r="T70" s="146"/>
      <c r="U70" s="146"/>
      <c r="Z70" s="132"/>
      <c r="AA70" s="132"/>
      <c r="AB70" s="132"/>
      <c r="AD70" s="202"/>
    </row>
    <row r="71" spans="1:30" ht="21.75" customHeight="1">
      <c r="A71" s="550">
        <f>HGR.SAT!$B$33</f>
        <v>22</v>
      </c>
      <c r="B71" s="189">
        <f>B69+1</f>
        <v>14</v>
      </c>
      <c r="C71" s="190"/>
      <c r="D71" s="191" t="str">
        <f>VLOOKUP($A71,HGR.SAT!$B$12:$M$150,2,0)</f>
        <v>Pembuatan 1 m3 Beton Mutu f'=14,5 Mpa (K175)</v>
      </c>
      <c r="E71" s="192"/>
      <c r="F71" s="246"/>
      <c r="G71" s="193">
        <f>'BACK UP VOLUME'!T134</f>
        <v>0.49860000000000004</v>
      </c>
      <c r="H71" s="194" t="str">
        <f>VLOOKUP($A71,HGR.SAT!$B$12:$M$150,7,0)</f>
        <v>m3</v>
      </c>
      <c r="I71" s="195" t="str">
        <f>VLOOKUP($A71,HGR.SAT!$B$12:$M$150,5,0)</f>
        <v>A.4.1.1.5.</v>
      </c>
      <c r="J71" s="196">
        <f>VLOOKUP($A71,HGR.SAT!$B$12:$M$150,6,0)</f>
        <v>1152774.81</v>
      </c>
      <c r="K71" s="197">
        <f t="shared" ref="K71:K73" si="41">ROUND((G71*J71),2)</f>
        <v>574773.52</v>
      </c>
      <c r="L71" s="197"/>
      <c r="M71" s="199">
        <f>VLOOKUP($A71,HGR.SAT!$B$12:$K$144,8,0)</f>
        <v>0.95888271903857591</v>
      </c>
      <c r="N71" s="200">
        <f>M71*K71</f>
        <v>551140.39568897337</v>
      </c>
      <c r="O71" s="201">
        <f>K71-N71</f>
        <v>23633.124311026651</v>
      </c>
      <c r="T71" s="146"/>
      <c r="U71" s="146"/>
      <c r="Z71" s="132"/>
      <c r="AA71" s="132"/>
      <c r="AB71" s="132"/>
      <c r="AD71" s="202"/>
    </row>
    <row r="72" spans="1:30" ht="21.95" customHeight="1">
      <c r="A72" s="550">
        <f>HGR.SAT!$B$35</f>
        <v>24</v>
      </c>
      <c r="B72" s="189">
        <f t="shared" ref="B72:B73" si="42">B71+1</f>
        <v>15</v>
      </c>
      <c r="C72" s="190"/>
      <c r="D72" s="191" t="str">
        <f>VLOOKUP($A72,HGR.SAT!$B$12:$M$150,2,0)</f>
        <v>Pembesian 1 kg dengan besi polos atau besi ulir</v>
      </c>
      <c r="E72" s="192"/>
      <c r="F72" s="246"/>
      <c r="G72" s="193">
        <f>'BACK UP VOLUME'!T138</f>
        <v>34.232531199999997</v>
      </c>
      <c r="H72" s="194" t="str">
        <f>VLOOKUP($A72,HGR.SAT!$B$12:$M$150,7,0)</f>
        <v>kg</v>
      </c>
      <c r="I72" s="195" t="str">
        <f>VLOOKUP($A72,HGR.SAT!$B$12:$M$150,5,0)</f>
        <v>A.4.1.1.17.</v>
      </c>
      <c r="J72" s="196">
        <f>VLOOKUP($A72,HGR.SAT!$B$12:$M$150,6,0)</f>
        <v>17605.28</v>
      </c>
      <c r="K72" s="197">
        <f t="shared" si="41"/>
        <v>602673.30000000005</v>
      </c>
      <c r="L72" s="197"/>
      <c r="M72" s="199">
        <f>VLOOKUP($A72,HGR.SAT!$B$12:$K$144,8,0)</f>
        <v>0.19980447627075515</v>
      </c>
      <c r="N72" s="200">
        <f>M72*K72</f>
        <v>120416.82306886771</v>
      </c>
      <c r="O72" s="201">
        <f>K72-N72</f>
        <v>482256.47693113232</v>
      </c>
      <c r="T72" s="146"/>
      <c r="U72" s="146"/>
      <c r="Z72" s="132"/>
      <c r="AA72" s="132"/>
      <c r="AB72" s="132"/>
      <c r="AD72" s="202"/>
    </row>
    <row r="73" spans="1:30" ht="21.95" customHeight="1">
      <c r="A73" s="550">
        <f>HGR.SAT!B42</f>
        <v>31</v>
      </c>
      <c r="B73" s="189">
        <f t="shared" si="42"/>
        <v>16</v>
      </c>
      <c r="C73" s="190"/>
      <c r="D73" s="191" t="str">
        <f>VLOOKUP($A73,HGR.SAT!$B$12:$M$150,2,0)</f>
        <v>Memasang bekisting</v>
      </c>
      <c r="E73" s="191"/>
      <c r="F73" s="246"/>
      <c r="G73" s="193">
        <f>'BACK UP VOLUME'!T145</f>
        <v>5.16</v>
      </c>
      <c r="H73" s="194" t="str">
        <f>VLOOKUP($A73,HGR.SAT!$B$12:$M$150,7,0)</f>
        <v>m2</v>
      </c>
      <c r="I73" s="195" t="str">
        <f>VLOOKUP($A73,HGR.SAT!$B$12:$M$150,5,0)</f>
        <v>Dihitung</v>
      </c>
      <c r="J73" s="196">
        <f>VLOOKUP($A73,HGR.SAT!$B$12:$M$150,6,0)</f>
        <v>138920.04</v>
      </c>
      <c r="K73" s="197">
        <f t="shared" si="41"/>
        <v>716827.41</v>
      </c>
      <c r="L73" s="197"/>
      <c r="M73" s="199">
        <f>VLOOKUP($A73,HGR.SAT!$B$12:$K$144,8,0)</f>
        <v>0.95154622759970409</v>
      </c>
      <c r="N73" s="200">
        <f>M73*K73</f>
        <v>682094.41782556637</v>
      </c>
      <c r="O73" s="201">
        <f>K73-N73</f>
        <v>34732.992174433661</v>
      </c>
      <c r="T73" s="146"/>
      <c r="U73" s="146"/>
      <c r="Z73" s="132"/>
      <c r="AA73" s="132"/>
      <c r="AB73" s="132"/>
      <c r="AD73" s="202"/>
    </row>
    <row r="74" spans="1:30" ht="21.95" customHeight="1">
      <c r="B74" s="417"/>
      <c r="C74" s="418"/>
      <c r="D74" s="419"/>
      <c r="E74" s="419"/>
      <c r="F74" s="427"/>
      <c r="G74" s="420"/>
      <c r="H74" s="421"/>
      <c r="I74" s="422"/>
      <c r="J74" s="423"/>
      <c r="K74" s="406"/>
      <c r="L74" s="406"/>
      <c r="M74" s="425"/>
      <c r="N74" s="423"/>
      <c r="O74" s="426"/>
      <c r="T74" s="146"/>
      <c r="U74" s="146"/>
      <c r="Z74" s="132"/>
      <c r="AA74" s="132"/>
      <c r="AB74" s="132"/>
      <c r="AD74" s="202"/>
    </row>
    <row r="75" spans="1:30" ht="21.95" customHeight="1">
      <c r="B75" s="215"/>
      <c r="C75" s="216"/>
      <c r="D75" s="217"/>
      <c r="E75" s="217"/>
      <c r="F75" s="218"/>
      <c r="G75" s="219"/>
      <c r="H75" s="220"/>
      <c r="I75" s="221"/>
      <c r="J75" s="222"/>
      <c r="K75" s="223" t="s">
        <v>532</v>
      </c>
      <c r="L75" s="224">
        <f>SUM(K53:K75)</f>
        <v>26533816.600000001</v>
      </c>
      <c r="M75" s="225">
        <f>N75/L75</f>
        <v>0.60956410724786037</v>
      </c>
      <c r="N75" s="226">
        <f>SUM(N53:N69)</f>
        <v>16174062.22765746</v>
      </c>
      <c r="O75" s="227">
        <f>SUM(O53:O69)</f>
        <v>8465480.1423425414</v>
      </c>
      <c r="T75" s="146"/>
      <c r="U75" s="146"/>
      <c r="V75" s="248"/>
      <c r="Z75" s="132"/>
      <c r="AA75" s="132"/>
      <c r="AB75" s="132"/>
      <c r="AD75" s="202"/>
    </row>
    <row r="76" spans="1:30" ht="21.95" customHeight="1">
      <c r="B76" s="228" t="s">
        <v>567</v>
      </c>
      <c r="C76" s="229"/>
      <c r="D76" s="230" t="s">
        <v>565</v>
      </c>
      <c r="E76" s="231"/>
      <c r="F76" s="231"/>
      <c r="G76" s="232"/>
      <c r="H76" s="233"/>
      <c r="I76" s="234"/>
      <c r="J76" s="235"/>
      <c r="K76" s="236"/>
      <c r="L76" s="237"/>
      <c r="M76" s="234"/>
      <c r="N76" s="233"/>
      <c r="O76" s="238"/>
      <c r="T76" s="146"/>
      <c r="U76" s="146"/>
      <c r="Z76" s="132"/>
      <c r="AA76" s="132"/>
      <c r="AB76" s="132"/>
      <c r="AD76" s="202"/>
    </row>
    <row r="77" spans="1:30" ht="21.75" customHeight="1">
      <c r="A77" s="550">
        <f>HGR.SAT!$B$99</f>
        <v>88</v>
      </c>
      <c r="B77" s="189">
        <v>1</v>
      </c>
      <c r="C77" s="190"/>
      <c r="D77" s="191" t="str">
        <f>VLOOKUP($A77,HGR.SAT!$B$12:$M$150,2,0)</f>
        <v>Pemasangan 1 buah Box MCB</v>
      </c>
      <c r="E77" s="191"/>
      <c r="F77" s="246"/>
      <c r="G77" s="206">
        <f>'BACK UP VOLUME'!T153</f>
        <v>1</v>
      </c>
      <c r="H77" s="194" t="str">
        <f>VLOOKUP($A77,HGR.SAT!$B$12:$M$150,7,0)</f>
        <v>ttk</v>
      </c>
      <c r="I77" s="195" t="str">
        <f>VLOOKUP($A77,HGR.SAT!$B$12:$M$150,5,0)</f>
        <v>An. Dihitung</v>
      </c>
      <c r="J77" s="196">
        <f>VLOOKUP($A77,HGR.SAT!$B$12:$M$150,6,0)</f>
        <v>245560</v>
      </c>
      <c r="K77" s="197">
        <f t="shared" ref="K77:K83" si="43">ROUND((G77*J77),2)</f>
        <v>245560</v>
      </c>
      <c r="L77" s="197"/>
      <c r="M77" s="199">
        <f>VLOOKUP($A77,HGR.SAT!$B$12:$K$144,8,0)</f>
        <v>0.43329532497149376</v>
      </c>
      <c r="N77" s="200">
        <f>M77*K77</f>
        <v>106400</v>
      </c>
      <c r="O77" s="201">
        <f>K77-N77</f>
        <v>139160</v>
      </c>
      <c r="T77" s="146"/>
      <c r="U77" s="146"/>
      <c r="Z77" s="132"/>
      <c r="AA77" s="132"/>
      <c r="AB77" s="132"/>
      <c r="AD77" s="202"/>
    </row>
    <row r="78" spans="1:30" ht="21.75" customHeight="1">
      <c r="A78" s="550">
        <f>HGR.SAT!$B$100</f>
        <v>89</v>
      </c>
      <c r="B78" s="189">
        <f>B77+1</f>
        <v>2</v>
      </c>
      <c r="C78" s="190"/>
      <c r="D78" s="191" t="str">
        <f>VLOOKUP($A78,HGR.SAT!$B$12:$M$150,2,0)</f>
        <v>Pemasangan 1 buah MCB</v>
      </c>
      <c r="E78" s="191"/>
      <c r="F78" s="246"/>
      <c r="G78" s="206">
        <f>'BACK UP VOLUME'!T154</f>
        <v>2</v>
      </c>
      <c r="H78" s="194" t="str">
        <f>VLOOKUP($A78,HGR.SAT!$B$12:$M$150,7,0)</f>
        <v>ttk</v>
      </c>
      <c r="I78" s="195" t="str">
        <f>VLOOKUP($A78,HGR.SAT!$B$12:$M$150,5,0)</f>
        <v>An. Dihitung</v>
      </c>
      <c r="J78" s="196">
        <f>VLOOKUP($A78,HGR.SAT!$B$12:$M$150,6,0)</f>
        <v>176960</v>
      </c>
      <c r="K78" s="197">
        <f t="shared" ref="K78" si="44">ROUND((G78*J78),2)</f>
        <v>353920</v>
      </c>
      <c r="L78" s="197"/>
      <c r="M78" s="199">
        <f>VLOOKUP($A78,HGR.SAT!$B$12:$K$144,8,0)</f>
        <v>0.60126582278481011</v>
      </c>
      <c r="N78" s="200">
        <f>M78*K78</f>
        <v>212800</v>
      </c>
      <c r="O78" s="201">
        <f>K78-N78</f>
        <v>141120</v>
      </c>
      <c r="T78" s="146"/>
      <c r="U78" s="146"/>
      <c r="Z78" s="132"/>
      <c r="AA78" s="132"/>
      <c r="AB78" s="132"/>
      <c r="AD78" s="202"/>
    </row>
    <row r="79" spans="1:30" ht="21.75" customHeight="1">
      <c r="A79" s="550">
        <f>HGR.SAT!$B$126</f>
        <v>115</v>
      </c>
      <c r="B79" s="189">
        <f t="shared" ref="B79:B88" si="45">B78+1</f>
        <v>3</v>
      </c>
      <c r="C79" s="190"/>
      <c r="D79" s="191" t="str">
        <f>VLOOKUP($A79,HGR.SAT!$B$12:$M$150,2,0)</f>
        <v>Pasang kabel pembagi kabel 3x2,5 mm</v>
      </c>
      <c r="E79" s="191"/>
      <c r="F79" s="246"/>
      <c r="G79" s="206">
        <f>'BACK UP VOLUME'!I155</f>
        <v>25</v>
      </c>
      <c r="H79" s="194" t="str">
        <f>VLOOKUP($A79,HGR.SAT!$B$12:$M$150,7,0)</f>
        <v>m'</v>
      </c>
      <c r="I79" s="195" t="str">
        <f>VLOOKUP($A79,HGR.SAT!$B$12:$M$150,5,0)</f>
        <v>Daftar harga</v>
      </c>
      <c r="J79" s="196">
        <f>VLOOKUP($A79,HGR.SAT!$B$12:$M$150,6,0)</f>
        <v>25000</v>
      </c>
      <c r="K79" s="197">
        <f t="shared" ref="K79:K80" si="46">ROUND((G79*J79),2)</f>
        <v>625000</v>
      </c>
      <c r="L79" s="197"/>
      <c r="M79" s="199">
        <f>VLOOKUP($A79,HGR.SAT!$B$12:$K$144,8,0)</f>
        <v>0.1</v>
      </c>
      <c r="N79" s="200">
        <f t="shared" ref="N79:N80" si="47">M79*K79</f>
        <v>62500</v>
      </c>
      <c r="O79" s="201">
        <f t="shared" ref="O79:O80" si="48">K79-N79</f>
        <v>562500</v>
      </c>
      <c r="T79" s="146"/>
      <c r="U79" s="146"/>
      <c r="Z79" s="132"/>
      <c r="AA79" s="132"/>
      <c r="AB79" s="132"/>
      <c r="AD79" s="202"/>
    </row>
    <row r="80" spans="1:30" ht="21.75" customHeight="1">
      <c r="A80" s="550">
        <f>HGR.SAT!$B$127</f>
        <v>116</v>
      </c>
      <c r="B80" s="189">
        <f t="shared" si="45"/>
        <v>4</v>
      </c>
      <c r="C80" s="190"/>
      <c r="D80" s="191" t="str">
        <f>VLOOKUP($A80,HGR.SAT!$B$12:$M$150,2,0)</f>
        <v>Pasang kabel pembagi kabel 2x2,5 mm</v>
      </c>
      <c r="E80" s="191"/>
      <c r="F80" s="246"/>
      <c r="G80" s="206">
        <f>'BACK UP VOLUME'!I156</f>
        <v>25</v>
      </c>
      <c r="H80" s="194" t="str">
        <f>VLOOKUP($A80,HGR.SAT!$B$12:$M$150,7,0)</f>
        <v>m'</v>
      </c>
      <c r="I80" s="195" t="str">
        <f>VLOOKUP($A80,HGR.SAT!$B$12:$M$150,5,0)</f>
        <v>Daftar harga</v>
      </c>
      <c r="J80" s="196">
        <f>VLOOKUP($A80,HGR.SAT!$B$12:$M$150,6,0)</f>
        <v>19000</v>
      </c>
      <c r="K80" s="197">
        <f t="shared" si="46"/>
        <v>475000</v>
      </c>
      <c r="L80" s="197"/>
      <c r="M80" s="199">
        <f>VLOOKUP($A80,HGR.SAT!$B$12:$K$144,8,0)</f>
        <v>0.1</v>
      </c>
      <c r="N80" s="200">
        <f t="shared" si="47"/>
        <v>47500</v>
      </c>
      <c r="O80" s="201">
        <f t="shared" si="48"/>
        <v>427500</v>
      </c>
      <c r="T80" s="146"/>
      <c r="U80" s="146"/>
      <c r="Z80" s="132"/>
      <c r="AA80" s="132"/>
      <c r="AB80" s="132"/>
      <c r="AD80" s="202"/>
    </row>
    <row r="81" spans="1:30" ht="21.95" customHeight="1">
      <c r="A81" s="550">
        <f>HGR.SAT!$B$91</f>
        <v>80</v>
      </c>
      <c r="B81" s="189">
        <f t="shared" si="45"/>
        <v>5</v>
      </c>
      <c r="C81" s="190"/>
      <c r="D81" s="191" t="str">
        <f>VLOOKUP($A81,HGR.SAT!$B$12:$M$150,2,0)</f>
        <v>Memasang instalasi titik lampu (kabel 2x1,5 mm) + fitting</v>
      </c>
      <c r="E81" s="192"/>
      <c r="F81" s="246"/>
      <c r="G81" s="206">
        <v>1</v>
      </c>
      <c r="H81" s="194" t="str">
        <f>VLOOKUP($A81,HGR.SAT!$B$12:$M$150,7,0)</f>
        <v>ttk</v>
      </c>
      <c r="I81" s="195" t="str">
        <f>VLOOKUP($A81,HGR.SAT!$B$12:$M$150,5,0)</f>
        <v>An. Dihitung</v>
      </c>
      <c r="J81" s="196">
        <f>VLOOKUP($A81,HGR.SAT!$B$12:$M$150,6,0)</f>
        <v>160003.20000000001</v>
      </c>
      <c r="K81" s="197">
        <f t="shared" si="43"/>
        <v>160003.20000000001</v>
      </c>
      <c r="L81" s="197"/>
      <c r="M81" s="199">
        <f>VLOOKUP($A81,HGR.SAT!$B$12:$K$144,8,0)</f>
        <v>0.751504969900602</v>
      </c>
      <c r="N81" s="200">
        <f>M81*K81</f>
        <v>120243.20000000001</v>
      </c>
      <c r="O81" s="201">
        <f>K81-N81</f>
        <v>39760</v>
      </c>
      <c r="T81" s="146"/>
      <c r="U81" s="146"/>
      <c r="Z81" s="132"/>
      <c r="AA81" s="132"/>
      <c r="AB81" s="132"/>
      <c r="AD81" s="202"/>
    </row>
    <row r="82" spans="1:30" ht="21.95" customHeight="1">
      <c r="A82" s="550">
        <f>HGR.SAT!$B$92</f>
        <v>81</v>
      </c>
      <c r="B82" s="189">
        <f t="shared" si="45"/>
        <v>6</v>
      </c>
      <c r="C82" s="190"/>
      <c r="D82" s="191" t="str">
        <f>VLOOKUP($A82,HGR.SAT!$B$12:$M$150,2,0)</f>
        <v>Memasang instalasi titik lampu (kabel 2x1,5 mm) tanpa fitting</v>
      </c>
      <c r="E82" s="192"/>
      <c r="F82" s="246"/>
      <c r="G82" s="206">
        <f>'BACK UP VOLUME'!T158</f>
        <v>7</v>
      </c>
      <c r="H82" s="194" t="str">
        <f>VLOOKUP($A82,HGR.SAT!$B$12:$M$150,7,0)</f>
        <v>ttk</v>
      </c>
      <c r="I82" s="195" t="str">
        <f>VLOOKUP($A82,HGR.SAT!$B$12:$M$150,5,0)</f>
        <v>An. Dihitung</v>
      </c>
      <c r="J82" s="196">
        <f>VLOOKUP($A82,HGR.SAT!$B$12:$M$150,6,0)</f>
        <v>150371.20000000001</v>
      </c>
      <c r="K82" s="197">
        <f t="shared" ref="K82" si="49">ROUND((G82*J82),2)</f>
        <v>1052598.3999999999</v>
      </c>
      <c r="L82" s="197"/>
      <c r="M82" s="199">
        <f>VLOOKUP($A82,HGR.SAT!$B$12:$K$144,8,0)</f>
        <v>0.79964248473111876</v>
      </c>
      <c r="N82" s="200">
        <f>M82*K82</f>
        <v>841702.40000000002</v>
      </c>
      <c r="O82" s="201">
        <f>K82-N82</f>
        <v>210895.99999999988</v>
      </c>
      <c r="T82" s="146"/>
      <c r="U82" s="146"/>
      <c r="Z82" s="132"/>
      <c r="AA82" s="132"/>
      <c r="AB82" s="132"/>
      <c r="AD82" s="202"/>
    </row>
    <row r="83" spans="1:30" ht="21.95" customHeight="1">
      <c r="A83" s="550">
        <f>HGR.SAT!$B$94</f>
        <v>83</v>
      </c>
      <c r="B83" s="189">
        <f t="shared" si="45"/>
        <v>7</v>
      </c>
      <c r="C83" s="190"/>
      <c r="D83" s="191" t="str">
        <f>VLOOKUP($A83,HGR.SAT!$B$12:$M$150,2,0)</f>
        <v>Memasang Instalasi titik stop kontak (kabel 3x2,5 mm)</v>
      </c>
      <c r="E83" s="191"/>
      <c r="F83" s="246"/>
      <c r="G83" s="206">
        <f>'BACK UP VOLUME'!T159</f>
        <v>2</v>
      </c>
      <c r="H83" s="194" t="str">
        <f>VLOOKUP($A83,HGR.SAT!$B$12:$M$150,7,0)</f>
        <v>ttk</v>
      </c>
      <c r="I83" s="195" t="str">
        <f>VLOOKUP($A83,HGR.SAT!$B$12:$M$150,5,0)</f>
        <v>An. Dihitung</v>
      </c>
      <c r="J83" s="196">
        <f>VLOOKUP($A83,HGR.SAT!$B$12:$M$150,6,0)</f>
        <v>318371.20000000001</v>
      </c>
      <c r="K83" s="197">
        <f t="shared" si="43"/>
        <v>636742.40000000002</v>
      </c>
      <c r="L83" s="197"/>
      <c r="M83" s="199">
        <f>VLOOKUP($A83,HGR.SAT!$B$12:$K$144,8,0)</f>
        <v>0.87230000703581223</v>
      </c>
      <c r="N83" s="200">
        <f>M83*K83</f>
        <v>555430.40000000002</v>
      </c>
      <c r="O83" s="201">
        <f>K83-N83</f>
        <v>81312</v>
      </c>
      <c r="T83" s="146"/>
      <c r="U83" s="146"/>
      <c r="Z83" s="132"/>
      <c r="AA83" s="132"/>
      <c r="AB83" s="132"/>
      <c r="AD83" s="202"/>
    </row>
    <row r="84" spans="1:30" ht="21.95" customHeight="1">
      <c r="A84" s="550">
        <f>HGR.SAT!$B$95</f>
        <v>84</v>
      </c>
      <c r="B84" s="189">
        <f t="shared" si="45"/>
        <v>8</v>
      </c>
      <c r="C84" s="190"/>
      <c r="D84" s="191" t="str">
        <f>VLOOKUP($A84,HGR.SAT!$B$12:$M$150,2,0)</f>
        <v>Memasang saklar ganda</v>
      </c>
      <c r="E84" s="191"/>
      <c r="F84" s="246"/>
      <c r="G84" s="206">
        <v>1</v>
      </c>
      <c r="H84" s="194" t="str">
        <f>VLOOKUP($A84,HGR.SAT!$B$12:$M$150,7,0)</f>
        <v>bh</v>
      </c>
      <c r="I84" s="195" t="str">
        <f>VLOOKUP($A84,HGR.SAT!$B$12:$M$150,5,0)</f>
        <v>An. Dihitung</v>
      </c>
      <c r="J84" s="196">
        <f>VLOOKUP($A84,HGR.SAT!$B$12:$M$150,6,0)</f>
        <v>62081.599999999999</v>
      </c>
      <c r="K84" s="197">
        <f t="shared" ref="K84:K86" si="50">ROUND((G84*J84),2)</f>
        <v>62081.599999999999</v>
      </c>
      <c r="L84" s="197"/>
      <c r="M84" s="199">
        <f>VLOOKUP($A84,HGR.SAT!$B$12:$K$144,8,0)</f>
        <v>0.37781887064766373</v>
      </c>
      <c r="N84" s="200">
        <f t="shared" ref="N84:N86" si="51">M84*K84</f>
        <v>23455.599999999999</v>
      </c>
      <c r="O84" s="201">
        <f t="shared" ref="O84:O86" si="52">K84-N84</f>
        <v>38626</v>
      </c>
      <c r="T84" s="146"/>
      <c r="U84" s="146"/>
      <c r="Z84" s="132"/>
      <c r="AA84" s="132"/>
      <c r="AB84" s="132"/>
      <c r="AD84" s="202"/>
    </row>
    <row r="85" spans="1:30" ht="21.95" customHeight="1">
      <c r="A85" s="550">
        <f>HGR.SAT!$B$96</f>
        <v>85</v>
      </c>
      <c r="B85" s="189">
        <f t="shared" si="45"/>
        <v>9</v>
      </c>
      <c r="C85" s="190"/>
      <c r="D85" s="191" t="str">
        <f>VLOOKUP($A85,HGR.SAT!$B$12:$M$150,2,0)</f>
        <v>Memasang saklar tunggal</v>
      </c>
      <c r="E85" s="191"/>
      <c r="F85" s="246"/>
      <c r="G85" s="206">
        <v>3</v>
      </c>
      <c r="H85" s="194" t="str">
        <f>VLOOKUP($A85,HGR.SAT!$B$12:$M$150,7,0)</f>
        <v>bh</v>
      </c>
      <c r="I85" s="195" t="str">
        <f>VLOOKUP($A85,HGR.SAT!$B$12:$M$150,5,0)</f>
        <v>An. Dihitung</v>
      </c>
      <c r="J85" s="196">
        <f>VLOOKUP($A85,HGR.SAT!$B$12:$M$150,6,0)</f>
        <v>50713.599999999999</v>
      </c>
      <c r="K85" s="197">
        <f t="shared" si="50"/>
        <v>152140.79999999999</v>
      </c>
      <c r="L85" s="197"/>
      <c r="M85" s="199">
        <f>VLOOKUP($A85,HGR.SAT!$B$12:$K$144,8,0)</f>
        <v>0.41033568904593637</v>
      </c>
      <c r="N85" s="200">
        <f t="shared" si="51"/>
        <v>62428.799999999988</v>
      </c>
      <c r="O85" s="201">
        <f t="shared" si="52"/>
        <v>89712</v>
      </c>
      <c r="T85" s="146"/>
      <c r="U85" s="146"/>
      <c r="Z85" s="132"/>
      <c r="AA85" s="132"/>
      <c r="AB85" s="132"/>
      <c r="AD85" s="202"/>
    </row>
    <row r="86" spans="1:30" ht="21.95" customHeight="1">
      <c r="A86" s="550">
        <f>HGR.SAT!$B$97</f>
        <v>86</v>
      </c>
      <c r="B86" s="189">
        <f t="shared" si="45"/>
        <v>10</v>
      </c>
      <c r="C86" s="190"/>
      <c r="D86" s="191" t="str">
        <f>VLOOKUP($A86,HGR.SAT!$B$12:$M$150,2,0)</f>
        <v>Memasang stop kontak</v>
      </c>
      <c r="E86" s="191"/>
      <c r="F86" s="246"/>
      <c r="G86" s="206">
        <f>'BACK UP VOLUME'!T162</f>
        <v>3</v>
      </c>
      <c r="H86" s="194" t="str">
        <f>VLOOKUP($A86,HGR.SAT!$B$12:$M$150,7,0)</f>
        <v>bh</v>
      </c>
      <c r="I86" s="195" t="str">
        <f>VLOOKUP($A86,HGR.SAT!$B$12:$M$150,5,0)</f>
        <v>An. Dihitung</v>
      </c>
      <c r="J86" s="196">
        <f>VLOOKUP($A86,HGR.SAT!$B$12:$M$150,6,0)</f>
        <v>44217.599999999999</v>
      </c>
      <c r="K86" s="197">
        <f t="shared" si="50"/>
        <v>132652.79999999999</v>
      </c>
      <c r="L86" s="197"/>
      <c r="M86" s="199">
        <f>VLOOKUP($A86,HGR.SAT!$B$12:$K$144,8,0)</f>
        <v>0.43642350557244175</v>
      </c>
      <c r="N86" s="200">
        <f t="shared" si="51"/>
        <v>57892.799999999996</v>
      </c>
      <c r="O86" s="201">
        <f t="shared" si="52"/>
        <v>74760</v>
      </c>
      <c r="T86" s="146"/>
      <c r="U86" s="146"/>
      <c r="Z86" s="132"/>
      <c r="AA86" s="132"/>
      <c r="AB86" s="132"/>
      <c r="AD86" s="202"/>
    </row>
    <row r="87" spans="1:30" ht="21.95" customHeight="1">
      <c r="A87" s="550">
        <f>HGR.SAT!$B$102</f>
        <v>91</v>
      </c>
      <c r="B87" s="189">
        <f t="shared" si="45"/>
        <v>11</v>
      </c>
      <c r="C87" s="190"/>
      <c r="D87" s="191" t="str">
        <f>VLOOKUP($A87,HGR.SAT!$B$12:$M$150,2,0)</f>
        <v>Memasang Lampu downlight LED Slim ukuran 7 watt"</v>
      </c>
      <c r="E87" s="191"/>
      <c r="F87" s="246"/>
      <c r="G87" s="206">
        <v>4</v>
      </c>
      <c r="H87" s="194" t="str">
        <f>VLOOKUP($A87,HGR.SAT!$B$12:$M$150,7,0)</f>
        <v>bh</v>
      </c>
      <c r="I87" s="195" t="str">
        <f>VLOOKUP($A87,HGR.SAT!$B$12:$M$150,5,0)</f>
        <v>An. Dihitung</v>
      </c>
      <c r="J87" s="196">
        <f>VLOOKUP($A87,HGR.SAT!$B$12:$M$150,6,0)</f>
        <v>95401.600000000006</v>
      </c>
      <c r="K87" s="197">
        <f t="shared" ref="K87" si="53">ROUND((G87*J87),2)</f>
        <v>381606.40000000002</v>
      </c>
      <c r="L87" s="197"/>
      <c r="M87" s="199">
        <f>VLOOKUP($A87,HGR.SAT!$B$12:$K$144,8,0)</f>
        <v>0.1195116224465837</v>
      </c>
      <c r="N87" s="200">
        <f t="shared" ref="N87" si="54">M87*K87</f>
        <v>45606.400000000001</v>
      </c>
      <c r="O87" s="201">
        <f t="shared" ref="O87" si="55">K87-N87</f>
        <v>336000</v>
      </c>
      <c r="T87" s="146"/>
      <c r="U87" s="146"/>
      <c r="Z87" s="132"/>
      <c r="AA87" s="132"/>
      <c r="AB87" s="132"/>
      <c r="AD87" s="202"/>
    </row>
    <row r="88" spans="1:30" ht="21.95" customHeight="1">
      <c r="A88" s="550">
        <f>HGR.SAT!$B$101</f>
        <v>90</v>
      </c>
      <c r="B88" s="189">
        <f t="shared" si="45"/>
        <v>12</v>
      </c>
      <c r="C88" s="190"/>
      <c r="D88" s="191" t="str">
        <f>VLOOKUP($A88,HGR.SAT!$B$12:$M$150,2,0)</f>
        <v>Memasang Lampu downlight LED Slim ukuran 14 watt"</v>
      </c>
      <c r="E88" s="191"/>
      <c r="F88" s="246"/>
      <c r="G88" s="206">
        <f>'BACK UP VOLUME'!T164</f>
        <v>5</v>
      </c>
      <c r="H88" s="194" t="str">
        <f>VLOOKUP($A88,HGR.SAT!$B$12:$M$150,7,0)</f>
        <v>bh</v>
      </c>
      <c r="I88" s="195" t="str">
        <f>VLOOKUP($A88,HGR.SAT!$B$12:$M$150,5,0)</f>
        <v>An. Dihitung</v>
      </c>
      <c r="J88" s="196">
        <f>VLOOKUP($A88,HGR.SAT!$B$12:$M$150,6,0)</f>
        <v>151401.60000000001</v>
      </c>
      <c r="K88" s="197">
        <f t="shared" ref="K88" si="56">ROUND((G88*J88),2)</f>
        <v>757008</v>
      </c>
      <c r="L88" s="197"/>
      <c r="M88" s="199">
        <f>VLOOKUP($A88,HGR.SAT!$B$12:$K$144,8,0)</f>
        <v>7.5306998076638557E-2</v>
      </c>
      <c r="N88" s="200">
        <f t="shared" ref="N88" si="57">M88*K88</f>
        <v>57008</v>
      </c>
      <c r="O88" s="201">
        <f t="shared" ref="O88" si="58">K88-N88</f>
        <v>700000</v>
      </c>
      <c r="T88" s="146"/>
      <c r="U88" s="146"/>
      <c r="Z88" s="132"/>
      <c r="AA88" s="132"/>
      <c r="AB88" s="132"/>
      <c r="AD88" s="202"/>
    </row>
    <row r="89" spans="1:30" ht="21.95" customHeight="1">
      <c r="B89" s="203"/>
      <c r="C89" s="204"/>
      <c r="D89" s="205"/>
      <c r="E89" s="205"/>
      <c r="F89" s="205"/>
      <c r="G89" s="206"/>
      <c r="H89" s="207"/>
      <c r="I89" s="208"/>
      <c r="J89" s="209"/>
      <c r="K89" s="210"/>
      <c r="L89" s="210"/>
      <c r="M89" s="212"/>
      <c r="N89" s="213"/>
      <c r="O89" s="214"/>
      <c r="T89" s="146"/>
      <c r="U89" s="146"/>
      <c r="Z89" s="132"/>
      <c r="AA89" s="132"/>
      <c r="AB89" s="132"/>
      <c r="AD89" s="202"/>
    </row>
    <row r="90" spans="1:30" ht="21.95" customHeight="1">
      <c r="B90" s="215"/>
      <c r="C90" s="216"/>
      <c r="D90" s="217"/>
      <c r="E90" s="217"/>
      <c r="F90" s="218"/>
      <c r="G90" s="219"/>
      <c r="H90" s="220"/>
      <c r="I90" s="221"/>
      <c r="J90" s="222"/>
      <c r="K90" s="223" t="s">
        <v>588</v>
      </c>
      <c r="L90" s="224">
        <f>SUM(K77:K90)</f>
        <v>5034313.5999999996</v>
      </c>
      <c r="M90" s="225">
        <f>N90/L90</f>
        <v>0.43560409109198128</v>
      </c>
      <c r="N90" s="226">
        <f>SUM(N76:N89)</f>
        <v>2192967.6</v>
      </c>
      <c r="O90" s="227">
        <f>SUM(O77:O87)</f>
        <v>2141346</v>
      </c>
      <c r="T90" s="146"/>
      <c r="U90" s="146"/>
      <c r="AD90" s="202"/>
    </row>
    <row r="91" spans="1:30" ht="21.95" customHeight="1">
      <c r="B91" s="228" t="s">
        <v>301</v>
      </c>
      <c r="C91" s="229"/>
      <c r="D91" s="230" t="s">
        <v>568</v>
      </c>
      <c r="E91" s="231"/>
      <c r="F91" s="231"/>
      <c r="G91" s="232"/>
      <c r="H91" s="233"/>
      <c r="I91" s="234"/>
      <c r="J91" s="235"/>
      <c r="K91" s="236"/>
      <c r="L91" s="237"/>
      <c r="M91" s="234"/>
      <c r="N91" s="394"/>
      <c r="O91" s="238"/>
      <c r="T91" s="146"/>
      <c r="U91" s="146"/>
      <c r="Z91" s="132"/>
      <c r="AA91" s="132"/>
      <c r="AB91" s="132"/>
      <c r="AD91" s="202"/>
    </row>
    <row r="92" spans="1:30" ht="21.95" customHeight="1">
      <c r="A92" s="550">
        <f>HGR.SAT!$B$48</f>
        <v>37</v>
      </c>
      <c r="B92" s="189">
        <v>1</v>
      </c>
      <c r="C92" s="192"/>
      <c r="D92" s="191" t="str">
        <f>VLOOKUP($A92,HGR.SAT!$B$12:$M$150,2,0)</f>
        <v>Memasang kusen pintu/jendela alluminium 4"</v>
      </c>
      <c r="E92" s="192"/>
      <c r="F92" s="249"/>
      <c r="G92" s="193">
        <f>'BACK UP VOLUME'!T168</f>
        <v>25.4</v>
      </c>
      <c r="H92" s="194" t="str">
        <f>VLOOKUP($A92,HGR.SAT!$B$12:$M$150,7,0)</f>
        <v>m'</v>
      </c>
      <c r="I92" s="195" t="str">
        <f>VLOOKUP($A92,HGR.SAT!$B$12:$M$150,5,0)</f>
        <v>A.4.2.1.24.</v>
      </c>
      <c r="J92" s="196">
        <f>VLOOKUP($A92,HGR.SAT!$B$12:$M$150,6,0)</f>
        <v>168217.28</v>
      </c>
      <c r="K92" s="197">
        <f t="shared" ref="K92:K93" si="59">ROUND((G92*J92),2)</f>
        <v>4272718.91</v>
      </c>
      <c r="L92" s="197"/>
      <c r="M92" s="199">
        <f>VLOOKUP($A92,HGR.SAT!$B$12:$K$144,8,0)</f>
        <v>0.48380794172869757</v>
      </c>
      <c r="N92" s="200">
        <f t="shared" ref="N92:N100" si="60">M92*K92</f>
        <v>2067175.3414323842</v>
      </c>
      <c r="O92" s="201">
        <f>K92-N92</f>
        <v>2205543.5685676159</v>
      </c>
      <c r="T92" s="146"/>
      <c r="U92" s="146"/>
      <c r="Z92" s="132"/>
      <c r="AA92" s="132"/>
      <c r="AB92" s="132"/>
      <c r="AD92" s="202"/>
    </row>
    <row r="93" spans="1:30" ht="21.95" customHeight="1">
      <c r="A93" s="550">
        <f>HGR.SAT!B50</f>
        <v>39</v>
      </c>
      <c r="B93" s="189">
        <f>B92+1</f>
        <v>2</v>
      </c>
      <c r="C93" s="190"/>
      <c r="D93" s="191" t="str">
        <f>VLOOKUP($A93,HGR.SAT!$B$12:$M$150,2,0)</f>
        <v>Memasang pintu kaca rangka alluminium</v>
      </c>
      <c r="E93" s="191"/>
      <c r="F93" s="249"/>
      <c r="G93" s="193">
        <f>'BACK UP VOLUME'!T172</f>
        <v>1.5049999999999999</v>
      </c>
      <c r="H93" s="194" t="str">
        <f>VLOOKUP($A93,HGR.SAT!$B$12:$M$150,7,0)</f>
        <v>m2</v>
      </c>
      <c r="I93" s="195" t="str">
        <f>VLOOKUP($A93,HGR.SAT!$B$12:$M$150,5,0)</f>
        <v xml:space="preserve">A.4.2.1.26. </v>
      </c>
      <c r="J93" s="196">
        <f>VLOOKUP($A93,HGR.SAT!$B$12:$M$150,6,0)</f>
        <v>930379.52</v>
      </c>
      <c r="K93" s="197">
        <f t="shared" si="59"/>
        <v>1400221.18</v>
      </c>
      <c r="L93" s="197"/>
      <c r="M93" s="199">
        <f>VLOOKUP($A93,HGR.SAT!$B$12:$K$144,8,0)</f>
        <v>0.46233327234030269</v>
      </c>
      <c r="N93" s="200">
        <f t="shared" ref="N93" si="61">M93*K93</f>
        <v>647368.84014959994</v>
      </c>
      <c r="O93" s="201">
        <f t="shared" ref="O93" si="62">K93-N93</f>
        <v>752852.33985039999</v>
      </c>
      <c r="T93" s="146"/>
      <c r="U93" s="146"/>
      <c r="Z93" s="132"/>
      <c r="AA93" s="132"/>
      <c r="AB93" s="132"/>
      <c r="AD93" s="202"/>
    </row>
    <row r="94" spans="1:30" ht="21.95" customHeight="1">
      <c r="A94" s="550">
        <f>HGR.SAT!B51</f>
        <v>40</v>
      </c>
      <c r="B94" s="189">
        <f t="shared" ref="B94:B96" si="63">B93+1</f>
        <v>3</v>
      </c>
      <c r="C94" s="190"/>
      <c r="D94" s="191" t="str">
        <f>VLOOKUP($A94,HGR.SAT!$B$12:$M$150,2,0)</f>
        <v>Memasang pintu ACP rangka alluminium cokelat</v>
      </c>
      <c r="E94" s="191"/>
      <c r="F94" s="249"/>
      <c r="G94" s="193">
        <f>'BACK UP VOLUME'!T173</f>
        <v>2.5799999999999996</v>
      </c>
      <c r="H94" s="194" t="str">
        <f>VLOOKUP($A94,HGR.SAT!$B$12:$M$150,7,0)</f>
        <v>m2</v>
      </c>
      <c r="I94" s="195" t="str">
        <f>VLOOKUP($A94,HGR.SAT!$B$12:$M$150,5,0)</f>
        <v>An. Dihitung</v>
      </c>
      <c r="J94" s="196">
        <f>VLOOKUP($A94,HGR.SAT!$B$12:$M$150,6,0)</f>
        <v>1088460.52</v>
      </c>
      <c r="K94" s="197">
        <f t="shared" ref="K94" si="64">ROUND((G94*J94),2)</f>
        <v>2808228.14</v>
      </c>
      <c r="L94" s="197"/>
      <c r="M94" s="199">
        <f>VLOOKUP($A94,HGR.SAT!$B$12:$K$144,8,0)</f>
        <v>0.46893979397632174</v>
      </c>
      <c r="N94" s="200">
        <f t="shared" si="60"/>
        <v>1316889.9254101093</v>
      </c>
      <c r="O94" s="201">
        <f t="shared" ref="O94:O100" si="65">K94-N94</f>
        <v>1491338.2145898908</v>
      </c>
      <c r="T94" s="146"/>
      <c r="U94" s="146"/>
      <c r="Z94" s="132"/>
      <c r="AA94" s="132"/>
      <c r="AB94" s="132"/>
      <c r="AD94" s="202"/>
    </row>
    <row r="95" spans="1:30" ht="21.95" customHeight="1">
      <c r="A95" s="550">
        <f>HGR.SAT!B53</f>
        <v>42</v>
      </c>
      <c r="B95" s="189">
        <f t="shared" si="63"/>
        <v>4</v>
      </c>
      <c r="C95" s="190"/>
      <c r="D95" s="191" t="str">
        <f>VLOOKUP($A95,HGR.SAT!$B$12:$M$150,2,0)</f>
        <v>Memasang jendela &amp; boven kaca rangka aluminium cokelat</v>
      </c>
      <c r="E95" s="191"/>
      <c r="F95" s="249"/>
      <c r="G95" s="193">
        <f>'BACK UP VOLUME'!T174</f>
        <v>2.4</v>
      </c>
      <c r="H95" s="194" t="str">
        <f>VLOOKUP($A95,HGR.SAT!$B$12:$M$150,7,0)</f>
        <v>m2</v>
      </c>
      <c r="I95" s="195" t="str">
        <f>VLOOKUP($A95,HGR.SAT!$B$12:$M$150,5,0)</f>
        <v>An. Dihitung</v>
      </c>
      <c r="J95" s="196">
        <f>VLOOKUP($A95,HGR.SAT!$B$12:$M$150,6,0)</f>
        <v>902659.52</v>
      </c>
      <c r="K95" s="197">
        <f t="shared" ref="K95" si="66">ROUND((G95*J95),2)</f>
        <v>2166382.85</v>
      </c>
      <c r="L95" s="197"/>
      <c r="M95" s="199">
        <f>VLOOKUP($A95,HGR.SAT!$B$12:$K$144,8,0)</f>
        <v>0.46272703133956872</v>
      </c>
      <c r="N95" s="200">
        <f t="shared" ref="N95" si="67">M95*K95</f>
        <v>1002443.9049254543</v>
      </c>
      <c r="O95" s="201">
        <f t="shared" ref="O95" si="68">K95-N95</f>
        <v>1163938.9450745457</v>
      </c>
      <c r="T95" s="146"/>
      <c r="U95" s="146"/>
      <c r="Z95" s="132"/>
      <c r="AA95" s="132"/>
      <c r="AB95" s="132"/>
      <c r="AD95" s="202"/>
    </row>
    <row r="96" spans="1:30" ht="21.95" customHeight="1">
      <c r="A96" s="550">
        <f>HGR.SAT!B54</f>
        <v>43</v>
      </c>
      <c r="B96" s="189">
        <f t="shared" si="63"/>
        <v>5</v>
      </c>
      <c r="C96" s="190"/>
      <c r="D96" s="191" t="str">
        <f>VLOOKUP($A96,HGR.SAT!$B$12:$M$150,2,0)</f>
        <v>Memasang kunci tanam dan handel pintu</v>
      </c>
      <c r="E96" s="191"/>
      <c r="F96" s="249"/>
      <c r="G96" s="193">
        <f>'BACK UP VOLUME'!T175</f>
        <v>4</v>
      </c>
      <c r="H96" s="194" t="str">
        <f>VLOOKUP($A96,HGR.SAT!$B$12:$M$150,7,0)</f>
        <v>bh</v>
      </c>
      <c r="I96" s="195" t="str">
        <f>VLOOKUP($A96,HGR.SAT!$B$12:$M$150,5,0)</f>
        <v>A.4.6.2.11.</v>
      </c>
      <c r="J96" s="196">
        <f>VLOOKUP($A96,HGR.SAT!$B$12:$M$150,6,0)</f>
        <v>417780.16000000003</v>
      </c>
      <c r="K96" s="197">
        <f t="shared" ref="K96" si="69">ROUND((G96*J96),2)</f>
        <v>1671120.64</v>
      </c>
      <c r="L96" s="197"/>
      <c r="M96" s="199">
        <f>VLOOKUP($A96,HGR.SAT!$B$12:$K$144,8,0)</f>
        <v>6.1707477923317371E-2</v>
      </c>
      <c r="N96" s="200">
        <f t="shared" ref="N96" si="70">M96*K96</f>
        <v>103120.63999999998</v>
      </c>
      <c r="O96" s="201">
        <f t="shared" ref="O96" si="71">K96-N96</f>
        <v>1568000</v>
      </c>
      <c r="T96" s="146"/>
      <c r="U96" s="146"/>
      <c r="Z96" s="132"/>
      <c r="AA96" s="132"/>
      <c r="AB96" s="132"/>
      <c r="AD96" s="202"/>
    </row>
    <row r="97" spans="1:30" ht="21.95" customHeight="1">
      <c r="B97" s="189"/>
      <c r="C97" s="190"/>
      <c r="D97" s="191"/>
      <c r="E97" s="191"/>
      <c r="F97" s="249"/>
      <c r="G97" s="193"/>
      <c r="H97" s="194"/>
      <c r="I97" s="195"/>
      <c r="J97" s="196"/>
      <c r="K97" s="197"/>
      <c r="L97" s="197"/>
      <c r="M97" s="199"/>
      <c r="N97" s="200"/>
      <c r="O97" s="201"/>
      <c r="T97" s="146"/>
      <c r="U97" s="146"/>
      <c r="Z97" s="132"/>
      <c r="AA97" s="132"/>
      <c r="AB97" s="132"/>
      <c r="AD97" s="202"/>
    </row>
    <row r="98" spans="1:30" ht="21.95" customHeight="1">
      <c r="B98" s="215"/>
      <c r="C98" s="216"/>
      <c r="D98" s="217"/>
      <c r="E98" s="217"/>
      <c r="F98" s="218"/>
      <c r="G98" s="219"/>
      <c r="H98" s="220"/>
      <c r="I98" s="221"/>
      <c r="J98" s="222"/>
      <c r="K98" s="223" t="s">
        <v>587</v>
      </c>
      <c r="L98" s="224">
        <f>SUM(K92:K98)</f>
        <v>12318671.720000001</v>
      </c>
      <c r="M98" s="225">
        <f>N98/L98</f>
        <v>0.41700913610493939</v>
      </c>
      <c r="N98" s="226">
        <f>SUM(N92:N97)</f>
        <v>5136998.6519175479</v>
      </c>
      <c r="O98" s="227">
        <f>SUM(O92:O97)</f>
        <v>7181673.0680824518</v>
      </c>
      <c r="T98" s="146"/>
      <c r="U98" s="146"/>
      <c r="Z98" s="132"/>
      <c r="AA98" s="132"/>
      <c r="AB98" s="132"/>
      <c r="AD98" s="202"/>
    </row>
    <row r="99" spans="1:30" ht="21.95" customHeight="1">
      <c r="B99" s="228" t="s">
        <v>571</v>
      </c>
      <c r="C99" s="229"/>
      <c r="D99" s="230" t="s">
        <v>671</v>
      </c>
      <c r="E99" s="191"/>
      <c r="F99" s="249"/>
      <c r="G99" s="193"/>
      <c r="H99" s="194"/>
      <c r="I99" s="195"/>
      <c r="J99" s="196"/>
      <c r="K99" s="197"/>
      <c r="L99" s="197"/>
      <c r="M99" s="199"/>
      <c r="N99" s="200"/>
      <c r="O99" s="201"/>
      <c r="T99" s="146"/>
      <c r="U99" s="146"/>
      <c r="Z99" s="132"/>
      <c r="AA99" s="132"/>
      <c r="AB99" s="132"/>
      <c r="AD99" s="202"/>
    </row>
    <row r="100" spans="1:30" ht="21.95" customHeight="1">
      <c r="A100" s="550">
        <f>HGR.SAT!$B$74</f>
        <v>63</v>
      </c>
      <c r="B100" s="189">
        <v>1</v>
      </c>
      <c r="C100" s="190"/>
      <c r="D100" s="191" t="str">
        <f>VLOOKUP($A100,HGR.SAT!$B$12:$M$150,2,0)</f>
        <v>Memasang pipa PVC tipe AW diameter 3/4"</v>
      </c>
      <c r="E100" s="191"/>
      <c r="F100" s="249"/>
      <c r="G100" s="193">
        <f>'BACK UP VOLUME'!T179</f>
        <v>16</v>
      </c>
      <c r="H100" s="194" t="str">
        <f>VLOOKUP($A100,HGR.SAT!$B$12:$M$150,7,0)</f>
        <v>m'</v>
      </c>
      <c r="I100" s="195" t="str">
        <f>VLOOKUP($A100,HGR.SAT!$B$12:$M$150,5,0)</f>
        <v>A.5.1.1.26.</v>
      </c>
      <c r="J100" s="196">
        <f>VLOOKUP($A100,HGR.SAT!$B$12:$M$150,6,0)</f>
        <v>24379.040000000001</v>
      </c>
      <c r="K100" s="197">
        <f t="shared" ref="K100" si="72">ROUND((G100*J100),2)</f>
        <v>390064.64000000001</v>
      </c>
      <c r="L100" s="197"/>
      <c r="M100" s="199">
        <f>VLOOKUP($A100,HGR.SAT!$B$12:$K$144,8,0)</f>
        <v>0.94298313961501357</v>
      </c>
      <c r="N100" s="200">
        <f t="shared" si="60"/>
        <v>367824.37888000003</v>
      </c>
      <c r="O100" s="201">
        <f t="shared" si="65"/>
        <v>22240.261119999981</v>
      </c>
      <c r="T100" s="146"/>
      <c r="U100" s="146"/>
      <c r="Z100" s="132"/>
      <c r="AA100" s="132"/>
      <c r="AB100" s="132"/>
      <c r="AD100" s="202"/>
    </row>
    <row r="101" spans="1:30" ht="21.95" customHeight="1">
      <c r="A101" s="550">
        <f>HGR.SAT!B79</f>
        <v>68</v>
      </c>
      <c r="B101" s="189">
        <f>B100+1</f>
        <v>2</v>
      </c>
      <c r="C101" s="190"/>
      <c r="D101" s="191" t="str">
        <f>VLOOKUP($A101,HGR.SAT!$B$12:$M$150,2,0)</f>
        <v>Memasang pipa PVC tipe AW diameter 3"</v>
      </c>
      <c r="E101" s="191"/>
      <c r="F101" s="249"/>
      <c r="G101" s="193">
        <f>'BACK UP VOLUME'!T180</f>
        <v>12</v>
      </c>
      <c r="H101" s="194" t="str">
        <f>VLOOKUP($A101,HGR.SAT!$B$12:$M$150,7,0)</f>
        <v>m'</v>
      </c>
      <c r="I101" s="195" t="str">
        <f>VLOOKUP($A101,HGR.SAT!$B$12:$M$150,5,0)</f>
        <v>A.5.1.1.31.</v>
      </c>
      <c r="J101" s="196">
        <f>VLOOKUP($A101,HGR.SAT!$B$12:$M$150,6,0)</f>
        <v>103964.28</v>
      </c>
      <c r="K101" s="197">
        <f t="shared" ref="K101:K102" si="73">ROUND((G101*J101),2)</f>
        <v>1247571.3600000001</v>
      </c>
      <c r="L101" s="197"/>
      <c r="M101" s="199">
        <f>VLOOKUP($A101,HGR.SAT!$B$12:$K$144,8,0)</f>
        <v>0.92060397898201174</v>
      </c>
      <c r="N101" s="200">
        <f t="shared" ref="N101:N102" si="74">M101*K101</f>
        <v>1148519.15808</v>
      </c>
      <c r="O101" s="201">
        <f t="shared" ref="O101:O102" si="75">K101-N101</f>
        <v>99052.201920000138</v>
      </c>
      <c r="T101" s="146"/>
      <c r="U101" s="146"/>
      <c r="Z101" s="132"/>
      <c r="AA101" s="132"/>
      <c r="AB101" s="132"/>
      <c r="AD101" s="202"/>
    </row>
    <row r="102" spans="1:30" ht="21.95" customHeight="1">
      <c r="A102" s="550">
        <f>HGR.SAT!B80</f>
        <v>69</v>
      </c>
      <c r="B102" s="189">
        <f t="shared" ref="B102:B106" si="76">B101+1</f>
        <v>3</v>
      </c>
      <c r="C102" s="190"/>
      <c r="D102" s="191" t="str">
        <f>VLOOKUP($A102,HGR.SAT!$B$12:$M$150,2,0)</f>
        <v>Memasang pipa PVC tipe AW diameter 4"</v>
      </c>
      <c r="E102" s="191"/>
      <c r="F102" s="249"/>
      <c r="G102" s="193">
        <f>'BACK UP VOLUME'!T181</f>
        <v>8</v>
      </c>
      <c r="H102" s="194" t="str">
        <f>VLOOKUP($A102,HGR.SAT!$B$12:$M$150,7,0)</f>
        <v>m'</v>
      </c>
      <c r="I102" s="195" t="str">
        <f>VLOOKUP($A102,HGR.SAT!$B$12:$M$150,5,0)</f>
        <v>A.5.1.1.32.</v>
      </c>
      <c r="J102" s="196">
        <f>VLOOKUP($A102,HGR.SAT!$B$12:$M$150,6,0)</f>
        <v>167594.56</v>
      </c>
      <c r="K102" s="197">
        <f t="shared" si="73"/>
        <v>1340756.48</v>
      </c>
      <c r="L102" s="197"/>
      <c r="M102" s="199">
        <f>VLOOKUP($A102,HGR.SAT!$B$12:$K$144,8,0)</f>
        <v>0.91135196941953245</v>
      </c>
      <c r="N102" s="200">
        <f t="shared" si="74"/>
        <v>1221901.05856</v>
      </c>
      <c r="O102" s="201">
        <f t="shared" si="75"/>
        <v>118855.42143999995</v>
      </c>
      <c r="T102" s="146"/>
      <c r="U102" s="146"/>
      <c r="Z102" s="132"/>
      <c r="AA102" s="132"/>
      <c r="AB102" s="132"/>
      <c r="AD102" s="202"/>
    </row>
    <row r="103" spans="1:30" ht="21.95" customHeight="1">
      <c r="A103" s="550">
        <f>HGR.SAT!B69</f>
        <v>58</v>
      </c>
      <c r="B103" s="189">
        <f t="shared" si="76"/>
        <v>4</v>
      </c>
      <c r="C103" s="190"/>
      <c r="D103" s="191" t="str">
        <f>VLOOKUP($A103,HGR.SAT!$B$12:$M$150,2,0)</f>
        <v>Pemasangan 1 Buah Closet Jongkok Porselen</v>
      </c>
      <c r="E103" s="191"/>
      <c r="F103" s="249"/>
      <c r="G103" s="193">
        <f>'BACK UP VOLUME'!T182</f>
        <v>2</v>
      </c>
      <c r="H103" s="194" t="str">
        <f>VLOOKUP($A103,HGR.SAT!$B$12:$M$150,7,0)</f>
        <v>bh</v>
      </c>
      <c r="I103" s="195" t="str">
        <f>VLOOKUP($A103,HGR.SAT!$B$12:$M$150,5,0)</f>
        <v>A.5.1.1.2.</v>
      </c>
      <c r="J103" s="196">
        <f>VLOOKUP($A103,HGR.SAT!$B$12:$M$150,6,0)</f>
        <v>590385.6</v>
      </c>
      <c r="K103" s="197">
        <f t="shared" ref="K103" si="77">ROUND((G103*J103),2)</f>
        <v>1180771.2</v>
      </c>
      <c r="L103" s="197"/>
      <c r="M103" s="199">
        <f>VLOOKUP($A103,HGR.SAT!$B$12:$K$144,8,0)</f>
        <v>0.90234115872744858</v>
      </c>
      <c r="N103" s="200">
        <f t="shared" ref="N103" si="78">M103*K103</f>
        <v>1065458.4527999999</v>
      </c>
      <c r="O103" s="201">
        <f t="shared" ref="O103" si="79">K103-N103</f>
        <v>115312.7472000001</v>
      </c>
      <c r="T103" s="146"/>
      <c r="U103" s="146"/>
      <c r="Z103" s="132"/>
      <c r="AA103" s="132"/>
      <c r="AB103" s="132"/>
      <c r="AD103" s="202"/>
    </row>
    <row r="104" spans="1:30" ht="21.95" customHeight="1">
      <c r="A104" s="550">
        <f>HGR.SAT!B71</f>
        <v>60</v>
      </c>
      <c r="B104" s="189">
        <f t="shared" si="76"/>
        <v>5</v>
      </c>
      <c r="C104" s="190"/>
      <c r="D104" s="191" t="str">
        <f>VLOOKUP($A104,HGR.SAT!$B$12:$M$150,2,0)</f>
        <v>Memasang floor drain stainless</v>
      </c>
      <c r="E104" s="191"/>
      <c r="F104" s="249"/>
      <c r="G104" s="193">
        <f>'BACK UP VOLUME'!T183</f>
        <v>4</v>
      </c>
      <c r="H104" s="194" t="str">
        <f>VLOOKUP($A104,HGR.SAT!$B$12:$M$150,7,0)</f>
        <v>bh</v>
      </c>
      <c r="I104" s="195" t="str">
        <f>VLOOKUP($A104,HGR.SAT!$B$12:$M$150,5,0)</f>
        <v>A.5.1.1.14.</v>
      </c>
      <c r="J104" s="196">
        <f>VLOOKUP($A104,HGR.SAT!$B$12:$M$150,6,0)</f>
        <v>119784</v>
      </c>
      <c r="K104" s="197">
        <f t="shared" ref="K104:K105" si="80">ROUND((G104*J104),2)</f>
        <v>479136</v>
      </c>
      <c r="L104" s="197"/>
      <c r="M104" s="199">
        <f>VLOOKUP($A104,HGR.SAT!$B$12:$K$144,8,0)</f>
        <v>0.11173445535296868</v>
      </c>
      <c r="N104" s="200">
        <f t="shared" ref="N104:N105" si="81">M104*K104</f>
        <v>53536</v>
      </c>
      <c r="O104" s="201">
        <f t="shared" ref="O104:O105" si="82">K104-N104</f>
        <v>425600</v>
      </c>
      <c r="T104" s="146"/>
      <c r="U104" s="146"/>
      <c r="Z104" s="132"/>
      <c r="AA104" s="132"/>
      <c r="AB104" s="132"/>
      <c r="AD104" s="202"/>
    </row>
    <row r="105" spans="1:30" ht="21.95" customHeight="1">
      <c r="A105" s="550">
        <f>HGR.SAT!B83</f>
        <v>72</v>
      </c>
      <c r="B105" s="189">
        <f t="shared" si="76"/>
        <v>6</v>
      </c>
      <c r="C105" s="190"/>
      <c r="D105" s="191" t="str">
        <f>VLOOKUP($A105,HGR.SAT!$B$12:$M$150,2,0)</f>
        <v>Memasang kran diameter 1/2"atau 3/4", onda stainless</v>
      </c>
      <c r="E105" s="191"/>
      <c r="F105" s="249"/>
      <c r="G105" s="193">
        <f>'BACK UP VOLUME'!T184</f>
        <v>6</v>
      </c>
      <c r="H105" s="194" t="str">
        <f>VLOOKUP($A105,HGR.SAT!$B$12:$M$150,7,0)</f>
        <v>bh</v>
      </c>
      <c r="I105" s="195" t="str">
        <f>VLOOKUP($A105,HGR.SAT!$B$12:$M$150,5,0)</f>
        <v>A.5.1.1.19.</v>
      </c>
      <c r="J105" s="196">
        <f>VLOOKUP($A105,HGR.SAT!$B$12:$M$150,6,0)</f>
        <v>172158</v>
      </c>
      <c r="K105" s="197">
        <f t="shared" si="80"/>
        <v>1032948</v>
      </c>
      <c r="L105" s="197"/>
      <c r="M105" s="199">
        <f>VLOOKUP($A105,HGR.SAT!$B$12:$K$144,8,0)</f>
        <v>0.95427502642921036</v>
      </c>
      <c r="N105" s="200">
        <f t="shared" si="81"/>
        <v>985716.48</v>
      </c>
      <c r="O105" s="201">
        <f t="shared" si="82"/>
        <v>47231.520000000019</v>
      </c>
      <c r="T105" s="146"/>
      <c r="U105" s="146"/>
      <c r="Z105" s="132"/>
      <c r="AA105" s="132"/>
      <c r="AB105" s="132"/>
      <c r="AD105" s="202"/>
    </row>
    <row r="106" spans="1:30" ht="21.95" customHeight="1">
      <c r="A106" s="550">
        <f>HGR.SAT!B120</f>
        <v>109</v>
      </c>
      <c r="B106" s="189">
        <f t="shared" si="76"/>
        <v>7</v>
      </c>
      <c r="C106" s="190"/>
      <c r="D106" s="191" t="str">
        <f>VLOOKUP($A106,HGR.SAT!$B$12:$M$150,2,0)</f>
        <v>Pembuatan septictank dan resapan</v>
      </c>
      <c r="E106" s="191"/>
      <c r="F106" s="249"/>
      <c r="G106" s="193">
        <f>'BACK UP VOLUME'!T185</f>
        <v>1</v>
      </c>
      <c r="H106" s="194" t="str">
        <f>VLOOKUP($A106,HGR.SAT!$B$12:$M$150,7,0)</f>
        <v>bh</v>
      </c>
      <c r="I106" s="195" t="str">
        <f>VLOOKUP($A106,HGR.SAT!$B$12:$M$150,5,0)</f>
        <v>Daftar harga</v>
      </c>
      <c r="J106" s="196">
        <f>VLOOKUP($A106,HGR.SAT!$B$12:$M$150,6,0)</f>
        <v>3400000</v>
      </c>
      <c r="K106" s="197">
        <f t="shared" ref="K106" si="83">ROUND((G106*J106),2)</f>
        <v>3400000</v>
      </c>
      <c r="L106" s="197"/>
      <c r="M106" s="199">
        <f>VLOOKUP($A106,HGR.SAT!$B$12:$K$144,8,0)</f>
        <v>0.1</v>
      </c>
      <c r="N106" s="200">
        <f t="shared" ref="N106" si="84">M106*K106</f>
        <v>340000</v>
      </c>
      <c r="O106" s="201">
        <f t="shared" ref="O106" si="85">K106-N106</f>
        <v>3060000</v>
      </c>
      <c r="T106" s="146"/>
      <c r="U106" s="146"/>
      <c r="Z106" s="132"/>
      <c r="AA106" s="132"/>
      <c r="AB106" s="132"/>
      <c r="AD106" s="202"/>
    </row>
    <row r="107" spans="1:30" ht="21.95" customHeight="1">
      <c r="B107" s="189"/>
      <c r="C107" s="190"/>
      <c r="D107" s="191"/>
      <c r="E107" s="191"/>
      <c r="F107" s="249"/>
      <c r="G107" s="193"/>
      <c r="H107" s="194"/>
      <c r="I107" s="195"/>
      <c r="J107" s="196"/>
      <c r="K107" s="197"/>
      <c r="L107" s="197"/>
      <c r="M107" s="199"/>
      <c r="N107" s="196"/>
      <c r="O107" s="201"/>
      <c r="T107" s="146"/>
      <c r="U107" s="146"/>
      <c r="Z107" s="132"/>
      <c r="AA107" s="132"/>
      <c r="AB107" s="132"/>
      <c r="AD107" s="202"/>
    </row>
    <row r="108" spans="1:30" ht="21.95" customHeight="1">
      <c r="B108" s="215"/>
      <c r="C108" s="216"/>
      <c r="D108" s="217"/>
      <c r="E108" s="217"/>
      <c r="F108" s="218"/>
      <c r="G108" s="219"/>
      <c r="H108" s="220"/>
      <c r="I108" s="221"/>
      <c r="J108" s="222"/>
      <c r="K108" s="223" t="s">
        <v>586</v>
      </c>
      <c r="L108" s="224">
        <f>SUM(K100:K108)</f>
        <v>9071247.6799999997</v>
      </c>
      <c r="M108" s="225">
        <f>N108/L108</f>
        <v>0.57136082170341529</v>
      </c>
      <c r="N108" s="226">
        <f>SUM(N100:N107)</f>
        <v>5182955.5283199996</v>
      </c>
      <c r="O108" s="227">
        <f>SUM(O100:O107)</f>
        <v>3888292.1516800001</v>
      </c>
      <c r="T108" s="146"/>
      <c r="U108" s="146"/>
      <c r="Z108" s="132"/>
      <c r="AA108" s="132"/>
      <c r="AB108" s="132"/>
      <c r="AD108" s="202"/>
    </row>
    <row r="109" spans="1:30" ht="21.95" customHeight="1">
      <c r="B109" s="239" t="s">
        <v>573</v>
      </c>
      <c r="C109" s="229"/>
      <c r="D109" s="230" t="s">
        <v>643</v>
      </c>
      <c r="E109" s="191"/>
      <c r="F109" s="191"/>
      <c r="G109" s="193"/>
      <c r="H109" s="194"/>
      <c r="I109" s="195"/>
      <c r="J109" s="196"/>
      <c r="K109" s="197"/>
      <c r="L109" s="197"/>
      <c r="M109" s="199"/>
      <c r="N109" s="200"/>
      <c r="O109" s="201"/>
      <c r="T109" s="146"/>
      <c r="U109" s="146"/>
      <c r="AD109" s="202"/>
    </row>
    <row r="110" spans="1:30" ht="21.95" customHeight="1">
      <c r="A110" s="550">
        <f>HGR.SAT!$B$47</f>
        <v>36</v>
      </c>
      <c r="B110" s="189">
        <f>B108+1</f>
        <v>1</v>
      </c>
      <c r="C110" s="190"/>
      <c r="D110" s="191" t="str">
        <f>VLOOKUP($A110,HGR.SAT!$B$12:$M$150,2,0)</f>
        <v xml:space="preserve">Memasang 1 m2 rangka plafond galvanis ukuran (60x60) cm </v>
      </c>
      <c r="E110" s="191"/>
      <c r="F110" s="191"/>
      <c r="G110" s="193">
        <f>'BACK UP VOLUME'!T189</f>
        <v>45</v>
      </c>
      <c r="H110" s="194" t="str">
        <f>VLOOKUP($A110,HGR.SAT!$B$12:$M$150,7,0)</f>
        <v>m2</v>
      </c>
      <c r="I110" s="195" t="str">
        <f>VLOOKUP($A110,HGR.SAT!$B$12:$M$150,5,0)</f>
        <v>A.4.5.1.11.</v>
      </c>
      <c r="J110" s="196">
        <f>VLOOKUP($A110,HGR.SAT!$B$12:$M$150,6,0)</f>
        <v>101511.2</v>
      </c>
      <c r="K110" s="197">
        <f t="shared" ref="K110" si="86">ROUND((G110*J110),2)</f>
        <v>4568004</v>
      </c>
      <c r="L110" s="197"/>
      <c r="M110" s="199">
        <f>VLOOKUP($A110,HGR.SAT!$B$12:$K$144,8,0)</f>
        <v>0.75619242014674248</v>
      </c>
      <c r="N110" s="200">
        <f t="shared" ref="N110:N111" si="87">M110*K110</f>
        <v>3454290.0000000005</v>
      </c>
      <c r="O110" s="201">
        <f t="shared" ref="O110:O111" si="88">K110-N110</f>
        <v>1113713.9999999995</v>
      </c>
      <c r="T110" s="146"/>
      <c r="U110" s="146"/>
      <c r="AD110" s="202"/>
    </row>
    <row r="111" spans="1:30" ht="21.95" customHeight="1">
      <c r="A111" s="550">
        <f>HGR.SAT!$B$43</f>
        <v>32</v>
      </c>
      <c r="B111" s="189">
        <f t="shared" ref="B111:B112" si="89">B110+1</f>
        <v>2</v>
      </c>
      <c r="C111" s="190"/>
      <c r="D111" s="191" t="str">
        <f>VLOOKUP($A111,HGR.SAT!$B$12:$M$150,2,0)</f>
        <v>Memasang langit-langit gypsum board uk. (120x240), tb. 9 mm.</v>
      </c>
      <c r="E111" s="191"/>
      <c r="F111" s="191"/>
      <c r="G111" s="193">
        <f>'BACK UP VOLUME'!T190</f>
        <v>45</v>
      </c>
      <c r="H111" s="194" t="str">
        <f>VLOOKUP($A111,HGR.SAT!$B$12:$M$150,7,0)</f>
        <v>m2</v>
      </c>
      <c r="I111" s="195" t="str">
        <f>VLOOKUP($A111,HGR.SAT!$B$12:$M$150,5,0)</f>
        <v>A.4.5.1.7.</v>
      </c>
      <c r="J111" s="196">
        <f>VLOOKUP($A111,HGR.SAT!$B$12:$M$150,6,0)</f>
        <v>55465.760000000002</v>
      </c>
      <c r="K111" s="197">
        <f>ROUND((G111*J111),2)</f>
        <v>2495959.2000000002</v>
      </c>
      <c r="L111" s="197"/>
      <c r="M111" s="199">
        <f>VLOOKUP($A111,HGR.SAT!$B$12:$K$144,8,0)</f>
        <v>0.30511075661813702</v>
      </c>
      <c r="N111" s="200">
        <f t="shared" si="87"/>
        <v>761544</v>
      </c>
      <c r="O111" s="201">
        <f t="shared" si="88"/>
        <v>1734415.2000000002</v>
      </c>
      <c r="T111" s="146"/>
      <c r="U111" s="146"/>
      <c r="Z111" s="132"/>
      <c r="AA111" s="132"/>
      <c r="AB111" s="132"/>
      <c r="AD111" s="202"/>
    </row>
    <row r="112" spans="1:30" ht="21.95" customHeight="1">
      <c r="A112" s="550">
        <f>HGR.SAT!B46</f>
        <v>35</v>
      </c>
      <c r="B112" s="189">
        <f t="shared" si="89"/>
        <v>3</v>
      </c>
      <c r="C112" s="190"/>
      <c r="D112" s="191" t="str">
        <f>VLOOKUP($A112,HGR.SAT!$B$12:$M$150,2,0)</f>
        <v>Memasang list shadow line galvalum</v>
      </c>
      <c r="E112" s="191"/>
      <c r="F112" s="191"/>
      <c r="G112" s="193">
        <f>'BACK UP VOLUME'!T191</f>
        <v>36.9</v>
      </c>
      <c r="H112" s="194" t="str">
        <f>VLOOKUP($A112,HGR.SAT!$B$12:$M$150,7,0)</f>
        <v>m'</v>
      </c>
      <c r="I112" s="195" t="str">
        <f>VLOOKUP($A112,HGR.SAT!$B$12:$M$150,5,0)</f>
        <v>An.Dihitung</v>
      </c>
      <c r="J112" s="196">
        <f>VLOOKUP($A112,HGR.SAT!$B$12:$M$150,6,0)</f>
        <v>12885.6</v>
      </c>
      <c r="K112" s="197">
        <f>ROUND((G112*J112),2)</f>
        <v>475478.64</v>
      </c>
      <c r="L112" s="197"/>
      <c r="M112" s="199">
        <f>VLOOKUP($A112,HGR.SAT!$B$12:$K$144,8,0)</f>
        <v>0.60391134289439374</v>
      </c>
      <c r="N112" s="200">
        <f t="shared" ref="N112" si="90">M112*K112</f>
        <v>287146.94400000002</v>
      </c>
      <c r="O112" s="201">
        <f t="shared" ref="O112" si="91">K112-N112</f>
        <v>188331.696</v>
      </c>
      <c r="T112" s="146"/>
      <c r="U112" s="146"/>
      <c r="Z112" s="132"/>
      <c r="AA112" s="132"/>
      <c r="AB112" s="132"/>
      <c r="AD112" s="202"/>
    </row>
    <row r="113" spans="1:30" ht="21.95" customHeight="1">
      <c r="B113" s="189"/>
      <c r="C113" s="190"/>
      <c r="D113" s="191"/>
      <c r="E113" s="191"/>
      <c r="F113" s="191"/>
      <c r="G113" s="193"/>
      <c r="H113" s="194"/>
      <c r="I113" s="195"/>
      <c r="J113" s="196"/>
      <c r="K113" s="197"/>
      <c r="L113" s="197"/>
      <c r="M113" s="199"/>
      <c r="N113" s="200"/>
      <c r="O113" s="201"/>
      <c r="T113" s="146"/>
      <c r="U113" s="146"/>
      <c r="AD113" s="202"/>
    </row>
    <row r="114" spans="1:30" ht="21.95" customHeight="1">
      <c r="B114" s="215"/>
      <c r="C114" s="216"/>
      <c r="D114" s="217"/>
      <c r="E114" s="217"/>
      <c r="F114" s="218"/>
      <c r="G114" s="219"/>
      <c r="H114" s="220"/>
      <c r="I114" s="221"/>
      <c r="J114" s="222"/>
      <c r="K114" s="223" t="s">
        <v>585</v>
      </c>
      <c r="L114" s="224">
        <f>SUM(K110:K114)</f>
        <v>7539441.8399999999</v>
      </c>
      <c r="M114" s="225">
        <f>N114/L114</f>
        <v>0.59725653961673109</v>
      </c>
      <c r="N114" s="226">
        <f>SUM(N110:N113)</f>
        <v>4502980.9440000001</v>
      </c>
      <c r="O114" s="227">
        <f>SUM(O110:O113)</f>
        <v>3036460.8959999997</v>
      </c>
      <c r="T114" s="146"/>
      <c r="U114" s="146"/>
      <c r="AD114" s="202"/>
    </row>
    <row r="115" spans="1:30" ht="21.95" customHeight="1">
      <c r="B115" s="228" t="s">
        <v>574</v>
      </c>
      <c r="C115" s="240"/>
      <c r="D115" s="241" t="s">
        <v>689</v>
      </c>
      <c r="E115" s="192"/>
      <c r="F115" s="192"/>
      <c r="G115" s="193"/>
      <c r="H115" s="242"/>
      <c r="I115" s="243"/>
      <c r="J115" s="196"/>
      <c r="K115" s="244"/>
      <c r="L115" s="197"/>
      <c r="M115" s="243"/>
      <c r="N115" s="242"/>
      <c r="O115" s="245"/>
      <c r="T115" s="146"/>
      <c r="U115" s="146"/>
      <c r="Z115" s="132"/>
      <c r="AA115" s="132"/>
      <c r="AB115" s="132"/>
      <c r="AD115" s="202"/>
    </row>
    <row r="116" spans="1:30" ht="21.95" customHeight="1">
      <c r="A116" s="550">
        <f>HGR.SAT!B118</f>
        <v>107</v>
      </c>
      <c r="B116" s="189">
        <v>1</v>
      </c>
      <c r="C116" s="190"/>
      <c r="D116" s="191" t="str">
        <f>VLOOKUP($A116,HGR.SAT!$B$12:$M$150,2,0)</f>
        <v>Pasang Rangka atap baja ringan C 75</v>
      </c>
      <c r="E116" s="191"/>
      <c r="F116" s="191"/>
      <c r="G116" s="193">
        <f>'BACK UP VOLUME'!T195</f>
        <v>46.800000000000004</v>
      </c>
      <c r="H116" s="194" t="str">
        <f>VLOOKUP($A116,HGR.SAT!$B$12:$M$150,7,0)</f>
        <v>m2</v>
      </c>
      <c r="I116" s="195" t="str">
        <f>VLOOKUP($A116,HGR.SAT!$B$12:$M$150,5,0)</f>
        <v>Daftar harga</v>
      </c>
      <c r="J116" s="196">
        <f>VLOOKUP($A116,HGR.SAT!$B$12:$M$150,6,0)</f>
        <v>180000</v>
      </c>
      <c r="K116" s="197">
        <f t="shared" ref="K116" si="92">ROUND((G116*J116),2)</f>
        <v>8424000</v>
      </c>
      <c r="L116" s="197"/>
      <c r="M116" s="199">
        <f>VLOOKUP($A116,HGR.SAT!$B$12:$K$144,8,0)</f>
        <v>0.47889999999999999</v>
      </c>
      <c r="N116" s="200">
        <f t="shared" ref="N116:N117" si="93">M116*K116</f>
        <v>4034253.6</v>
      </c>
      <c r="O116" s="201">
        <f t="shared" ref="O116:O117" si="94">K116-N116</f>
        <v>4389746.4000000004</v>
      </c>
      <c r="T116" s="146"/>
      <c r="U116" s="146"/>
      <c r="Z116" s="132"/>
      <c r="AA116" s="132"/>
      <c r="AB116" s="132"/>
      <c r="AD116" s="202"/>
    </row>
    <row r="117" spans="1:30" ht="21.95" customHeight="1">
      <c r="A117" s="550">
        <f>HGR.SAT!B65</f>
        <v>54</v>
      </c>
      <c r="B117" s="189">
        <f t="shared" ref="B117:B118" si="95">B116+1</f>
        <v>2</v>
      </c>
      <c r="C117" s="190"/>
      <c r="D117" s="191" t="str">
        <f>VLOOKUP($A117,HGR.SAT!$B$12:$M$150,2,0)</f>
        <v>Pasang penutup atap galvalum berpasir</v>
      </c>
      <c r="E117" s="191"/>
      <c r="F117" s="191"/>
      <c r="G117" s="193">
        <f>'BACK UP VOLUME'!T196</f>
        <v>42.300000000000004</v>
      </c>
      <c r="H117" s="194" t="str">
        <f>VLOOKUP($A117,HGR.SAT!$B$12:$M$150,7,0)</f>
        <v>m2</v>
      </c>
      <c r="I117" s="195" t="str">
        <f>VLOOKUP($A117,HGR.SAT!$B$12:$M$150,5,0)</f>
        <v>An. Dihitung</v>
      </c>
      <c r="J117" s="196">
        <f>VLOOKUP($A117,HGR.SAT!$B$12:$M$150,6,0)</f>
        <v>122812.48</v>
      </c>
      <c r="K117" s="197">
        <f>ROUND((G117*J117),2)</f>
        <v>5194967.9000000004</v>
      </c>
      <c r="L117" s="197"/>
      <c r="M117" s="199">
        <f>VLOOKUP($A117,HGR.SAT!$B$12:$K$144,8,0)</f>
        <v>0.192915899100808</v>
      </c>
      <c r="N117" s="200">
        <f t="shared" si="93"/>
        <v>1002191.9032283365</v>
      </c>
      <c r="O117" s="201">
        <f t="shared" si="94"/>
        <v>4192775.9967716639</v>
      </c>
      <c r="T117" s="146"/>
      <c r="U117" s="146"/>
      <c r="Z117" s="132"/>
      <c r="AA117" s="132"/>
      <c r="AB117" s="132"/>
      <c r="AD117" s="202"/>
    </row>
    <row r="118" spans="1:30" ht="21.95" customHeight="1">
      <c r="A118" s="550">
        <f>HGR.SAT!B66</f>
        <v>55</v>
      </c>
      <c r="B118" s="189">
        <f t="shared" si="95"/>
        <v>3</v>
      </c>
      <c r="C118" s="190"/>
      <c r="D118" s="191" t="str">
        <f>VLOOKUP($A118,HGR.SAT!$B$12:$M$150,2,0)</f>
        <v>Pasang bubung galvalum pasir</v>
      </c>
      <c r="E118" s="191"/>
      <c r="F118" s="191"/>
      <c r="G118" s="193">
        <f>'BACK UP VOLUME'!T197</f>
        <v>9</v>
      </c>
      <c r="H118" s="194" t="str">
        <f>VLOOKUP($A118,HGR.SAT!$B$12:$M$150,7,0)</f>
        <v>m'</v>
      </c>
      <c r="I118" s="195" t="str">
        <f>VLOOKUP($A118,HGR.SAT!$B$12:$M$150,5,0)</f>
        <v>An. Dihitung</v>
      </c>
      <c r="J118" s="196">
        <f>VLOOKUP($A118,HGR.SAT!$B$12:$M$150,6,0)</f>
        <v>72493.119999999995</v>
      </c>
      <c r="K118" s="197">
        <f>ROUND((G118*J118),2)</f>
        <v>652438.07999999996</v>
      </c>
      <c r="L118" s="197"/>
      <c r="M118" s="199">
        <f>VLOOKUP($A118,HGR.SAT!$B$12:$K$144,8,0)</f>
        <v>0.42377715292154622</v>
      </c>
      <c r="N118" s="200">
        <f t="shared" ref="N118" si="96">M118*K118</f>
        <v>276488.35200000001</v>
      </c>
      <c r="O118" s="201">
        <f t="shared" ref="O118" si="97">K118-N118</f>
        <v>375949.72799999994</v>
      </c>
      <c r="T118" s="146"/>
      <c r="U118" s="146"/>
      <c r="Z118" s="132"/>
      <c r="AA118" s="132"/>
      <c r="AB118" s="132"/>
      <c r="AD118" s="202"/>
    </row>
    <row r="119" spans="1:30" ht="21.95" customHeight="1">
      <c r="A119" s="550">
        <f>HGR.SAT!B55</f>
        <v>44</v>
      </c>
      <c r="B119" s="189">
        <f>B117+1</f>
        <v>3</v>
      </c>
      <c r="C119" s="190"/>
      <c r="D119" s="191" t="str">
        <f>VLOOKUP($A119,HGR.SAT!$B$12:$M$150,2,0)</f>
        <v>Pemasangan 1 m' Talang datar / Jurai seng bjls 28 lebar 90 cm</v>
      </c>
      <c r="E119" s="191"/>
      <c r="F119" s="191"/>
      <c r="G119" s="193">
        <f>'BACK UP VOLUME'!T197</f>
        <v>9</v>
      </c>
      <c r="H119" s="194" t="str">
        <f>VLOOKUP($A119,HGR.SAT!$B$12:$M$150,7,0)</f>
        <v>m'</v>
      </c>
      <c r="I119" s="195" t="str">
        <f>VLOOKUP($A119,HGR.SAT!$B$12:$M$150,5,0)</f>
        <v>A.4.2.1.18.</v>
      </c>
      <c r="J119" s="196">
        <f>VLOOKUP($A119,HGR.SAT!$B$12:$M$150,6,0)</f>
        <v>128623.04000000001</v>
      </c>
      <c r="K119" s="197">
        <f t="shared" ref="K119" si="98">ROUND((G119*J119),2)</f>
        <v>1157607.3600000001</v>
      </c>
      <c r="L119" s="197"/>
      <c r="M119" s="212"/>
      <c r="N119" s="213"/>
      <c r="O119" s="214"/>
      <c r="T119" s="146"/>
      <c r="U119" s="146"/>
      <c r="Z119" s="132"/>
      <c r="AA119" s="132"/>
      <c r="AB119" s="132"/>
      <c r="AD119" s="202"/>
    </row>
    <row r="120" spans="1:30" ht="21.95" customHeight="1">
      <c r="B120" s="203"/>
      <c r="C120" s="204"/>
      <c r="D120" s="205"/>
      <c r="E120" s="205"/>
      <c r="F120" s="205"/>
      <c r="G120" s="206"/>
      <c r="H120" s="207"/>
      <c r="I120" s="208"/>
      <c r="J120" s="209"/>
      <c r="K120" s="210"/>
      <c r="L120" s="210"/>
      <c r="M120" s="212"/>
      <c r="N120" s="213"/>
      <c r="O120" s="214"/>
      <c r="T120" s="146"/>
      <c r="U120" s="146"/>
      <c r="Z120" s="132"/>
      <c r="AA120" s="132"/>
      <c r="AB120" s="132"/>
      <c r="AD120" s="202"/>
    </row>
    <row r="121" spans="1:30" ht="21.95" customHeight="1">
      <c r="B121" s="215"/>
      <c r="C121" s="216"/>
      <c r="D121" s="217"/>
      <c r="E121" s="217"/>
      <c r="F121" s="218"/>
      <c r="G121" s="219"/>
      <c r="H121" s="220"/>
      <c r="I121" s="464"/>
      <c r="J121" s="222"/>
      <c r="K121" s="223" t="s">
        <v>584</v>
      </c>
      <c r="L121" s="224">
        <f>SUM(K116:K121)</f>
        <v>15429013.34</v>
      </c>
      <c r="M121" s="225">
        <f>N121/L121</f>
        <v>0.34434696102403761</v>
      </c>
      <c r="N121" s="226">
        <f>SUM(N116:N120)</f>
        <v>5312933.8552283365</v>
      </c>
      <c r="O121" s="227">
        <f>SUM(O116:O120)</f>
        <v>8958472.1247716639</v>
      </c>
      <c r="T121" s="146"/>
      <c r="U121" s="146"/>
      <c r="AD121" s="202"/>
    </row>
    <row r="122" spans="1:30" ht="21.95" customHeight="1">
      <c r="B122" s="228" t="s">
        <v>575</v>
      </c>
      <c r="C122" s="229"/>
      <c r="D122" s="230" t="s">
        <v>617</v>
      </c>
      <c r="E122" s="191"/>
      <c r="F122" s="191"/>
      <c r="G122" s="193"/>
      <c r="H122" s="194"/>
      <c r="I122" s="195"/>
      <c r="J122" s="196"/>
      <c r="K122" s="197"/>
      <c r="L122" s="197"/>
      <c r="M122" s="199"/>
      <c r="N122" s="200"/>
      <c r="O122" s="201"/>
      <c r="T122" s="146"/>
      <c r="U122" s="146"/>
      <c r="AD122" s="202"/>
    </row>
    <row r="123" spans="1:30" ht="21.95" customHeight="1">
      <c r="A123" s="550">
        <f>HGR.SAT!$B$87</f>
        <v>76</v>
      </c>
      <c r="B123" s="189">
        <f>B121+1</f>
        <v>1</v>
      </c>
      <c r="C123" s="190"/>
      <c r="D123" s="191" t="str">
        <f>VLOOKUP($A123,HGR.SAT!$B$12:$M$150,2,0)</f>
        <v>Pengecatan 1m2 dinding baru (cat interior)</v>
      </c>
      <c r="E123" s="191"/>
      <c r="F123" s="191"/>
      <c r="G123" s="193">
        <f>'BACK UP VOLUME'!T201</f>
        <v>121.81949999999998</v>
      </c>
      <c r="H123" s="194" t="str">
        <f>VLOOKUP($A123,HGR.SAT!$B$12:$M$150,7,0)</f>
        <v>m2</v>
      </c>
      <c r="I123" s="195" t="str">
        <f>VLOOKUP($A123,HGR.SAT!$B$12:$M$150,5,0)</f>
        <v>A.4.7.1.10.</v>
      </c>
      <c r="J123" s="196">
        <f>VLOOKUP($A123,HGR.SAT!$B$12:$M$150,6,0)</f>
        <v>27836.7</v>
      </c>
      <c r="K123" s="197">
        <f>ROUND((G123*J123),2)</f>
        <v>3391052.88</v>
      </c>
      <c r="L123" s="197"/>
      <c r="M123" s="199">
        <f>VLOOKUP($A123,HGR.SAT!$B$12:$K$144,8,0)</f>
        <v>0.50690410473883685</v>
      </c>
      <c r="N123" s="200">
        <f t="shared" ref="N123:N124" si="99">M123*K123</f>
        <v>1718938.6242584542</v>
      </c>
      <c r="O123" s="201">
        <f t="shared" ref="O123:O124" si="100">K123-N123</f>
        <v>1672114.2557415457</v>
      </c>
      <c r="T123" s="146"/>
      <c r="U123" s="146"/>
      <c r="AD123" s="202"/>
    </row>
    <row r="124" spans="1:30" ht="21.95" customHeight="1">
      <c r="A124" s="550">
        <f>HGR.SAT!$B$88</f>
        <v>77</v>
      </c>
      <c r="B124" s="189">
        <f t="shared" ref="B124:B125" si="101">B123+1</f>
        <v>2</v>
      </c>
      <c r="C124" s="190"/>
      <c r="D124" s="191" t="str">
        <f>VLOOKUP($A124,HGR.SAT!$B$12:$M$150,2,0)</f>
        <v>Pengecatan 1m2 dinding luar (cat exterior)</v>
      </c>
      <c r="E124" s="191"/>
      <c r="F124" s="191"/>
      <c r="G124" s="193">
        <f>'BACK UP VOLUME'!T202</f>
        <v>99.670499999999976</v>
      </c>
      <c r="H124" s="194" t="str">
        <f>VLOOKUP($A124,HGR.SAT!$B$12:$M$150,7,0)</f>
        <v>m2</v>
      </c>
      <c r="I124" s="195" t="str">
        <f>VLOOKUP($A124,HGR.SAT!$B$12:$M$150,5,0)</f>
        <v>A.4.7.1.10a.</v>
      </c>
      <c r="J124" s="196">
        <f>VLOOKUP($A124,HGR.SAT!$B$12:$M$150,6,0)</f>
        <v>56409.02</v>
      </c>
      <c r="K124" s="197">
        <f>ROUND((G124*J124),2)</f>
        <v>5622315.2300000004</v>
      </c>
      <c r="L124" s="197"/>
      <c r="M124" s="199">
        <f>VLOOKUP($A124,HGR.SAT!$B$12:$K$144,8,0)</f>
        <v>0.444497391055729</v>
      </c>
      <c r="N124" s="200">
        <f t="shared" si="99"/>
        <v>2499104.4514278909</v>
      </c>
      <c r="O124" s="201">
        <f t="shared" si="100"/>
        <v>3123210.7785721095</v>
      </c>
      <c r="T124" s="146"/>
      <c r="U124" s="146"/>
      <c r="Z124" s="132"/>
      <c r="AA124" s="132"/>
      <c r="AB124" s="132"/>
      <c r="AD124" s="202"/>
    </row>
    <row r="125" spans="1:30" ht="21.95" customHeight="1">
      <c r="A125" s="550">
        <f>HGR.SAT!$B$87</f>
        <v>76</v>
      </c>
      <c r="B125" s="189">
        <f t="shared" si="101"/>
        <v>3</v>
      </c>
      <c r="C125" s="190"/>
      <c r="D125" s="191" t="s">
        <v>688</v>
      </c>
      <c r="E125" s="191"/>
      <c r="F125" s="191"/>
      <c r="G125" s="193">
        <f>'BACK UP VOLUME'!T203</f>
        <v>45</v>
      </c>
      <c r="H125" s="194" t="str">
        <f>VLOOKUP($A125,HGR.SAT!$B$12:$M$150,7,0)</f>
        <v>m2</v>
      </c>
      <c r="I125" s="195" t="str">
        <f>VLOOKUP($A125,HGR.SAT!$B$12:$M$150,5,0)</f>
        <v>A.4.7.1.10.</v>
      </c>
      <c r="J125" s="196">
        <f>VLOOKUP($A125,HGR.SAT!$B$12:$M$150,6,0)</f>
        <v>27836.7</v>
      </c>
      <c r="K125" s="197">
        <f>ROUND((G125*J125),2)</f>
        <v>1252651.5</v>
      </c>
      <c r="L125" s="197"/>
      <c r="M125" s="199">
        <f>VLOOKUP($A125,HGR.SAT!$B$12:$K$144,8,0)</f>
        <v>0.50690410473883685</v>
      </c>
      <c r="N125" s="200">
        <f t="shared" ref="N125" si="102">M125*K125</f>
        <v>634974.18715726107</v>
      </c>
      <c r="O125" s="201">
        <f t="shared" ref="O125" si="103">K125-N125</f>
        <v>617677.31284273893</v>
      </c>
      <c r="Q125" s="193"/>
      <c r="T125" s="146"/>
      <c r="U125" s="146"/>
      <c r="Z125" s="132"/>
      <c r="AA125" s="132"/>
      <c r="AB125" s="132"/>
      <c r="AD125" s="202"/>
    </row>
    <row r="126" spans="1:30" ht="21.95" customHeight="1">
      <c r="B126" s="189"/>
      <c r="C126" s="190"/>
      <c r="D126" s="191"/>
      <c r="E126" s="191"/>
      <c r="F126" s="191"/>
      <c r="G126" s="193"/>
      <c r="H126" s="194"/>
      <c r="I126" s="195"/>
      <c r="J126" s="196"/>
      <c r="K126" s="197"/>
      <c r="L126" s="197"/>
      <c r="M126" s="199"/>
      <c r="N126" s="200"/>
      <c r="O126" s="201"/>
      <c r="T126" s="146"/>
      <c r="U126" s="146"/>
      <c r="AD126" s="202"/>
    </row>
    <row r="127" spans="1:30" ht="21.95" customHeight="1">
      <c r="B127" s="215"/>
      <c r="C127" s="216"/>
      <c r="D127" s="217"/>
      <c r="E127" s="217"/>
      <c r="F127" s="218"/>
      <c r="G127" s="219"/>
      <c r="H127" s="220"/>
      <c r="I127" s="221"/>
      <c r="J127" s="222"/>
      <c r="K127" s="223" t="s">
        <v>584</v>
      </c>
      <c r="L127" s="224">
        <f>SUM(K123:K127)</f>
        <v>10266019.609999999</v>
      </c>
      <c r="M127" s="225">
        <f>N127/L127</f>
        <v>0.47272628021442153</v>
      </c>
      <c r="N127" s="226">
        <f>SUM(N123:N126)</f>
        <v>4853017.2628436061</v>
      </c>
      <c r="O127" s="227">
        <f>SUM(O123:O126)</f>
        <v>5413002.3471563943</v>
      </c>
      <c r="T127" s="146"/>
      <c r="U127" s="146"/>
      <c r="AD127" s="202"/>
    </row>
    <row r="128" spans="1:30" s="252" customFormat="1" ht="24.95" customHeight="1">
      <c r="A128" s="550"/>
      <c r="B128" s="256"/>
      <c r="C128" s="257"/>
      <c r="D128" s="258"/>
      <c r="E128" s="258"/>
      <c r="F128" s="258"/>
      <c r="G128" s="259"/>
      <c r="H128" s="260"/>
      <c r="I128" s="261"/>
      <c r="J128" s="262"/>
      <c r="K128" s="263" t="s">
        <v>678</v>
      </c>
      <c r="L128" s="264">
        <f>L127+L121+L114+L108+L98+L90+L75+L50+L37+L30</f>
        <v>167497249.10000002</v>
      </c>
      <c r="M128" s="265">
        <f>N128/L128</f>
        <v>0.70571657491075201</v>
      </c>
      <c r="N128" s="266">
        <f>SUM(N25:N127)/2</f>
        <v>118205584.94182506</v>
      </c>
      <c r="O128" s="267">
        <f>SUM(O25:O127)/2</f>
        <v>46836919.683174975</v>
      </c>
      <c r="P128" s="133"/>
      <c r="Q128" s="145"/>
      <c r="R128" s="146"/>
      <c r="S128" s="146"/>
      <c r="T128" s="146"/>
      <c r="U128" s="146"/>
      <c r="V128" s="268"/>
      <c r="Y128" s="253"/>
      <c r="Z128" s="253"/>
      <c r="AA128" s="253"/>
      <c r="AB128" s="253"/>
      <c r="AC128" s="133"/>
    </row>
    <row r="129" spans="1:29" s="252" customFormat="1" ht="24.95" customHeight="1">
      <c r="A129" s="550"/>
      <c r="B129" s="269"/>
      <c r="C129" s="270"/>
      <c r="D129" s="271"/>
      <c r="E129" s="271"/>
      <c r="F129" s="271"/>
      <c r="G129" s="272"/>
      <c r="H129" s="273"/>
      <c r="I129" s="274"/>
      <c r="J129" s="275"/>
      <c r="K129" s="274" t="s">
        <v>523</v>
      </c>
      <c r="L129" s="276">
        <f>L128*0.11</f>
        <v>18424697.401000004</v>
      </c>
      <c r="M129" s="276"/>
      <c r="N129" s="276"/>
      <c r="O129" s="277"/>
      <c r="P129" s="133"/>
      <c r="Q129" s="145"/>
      <c r="R129" s="146"/>
      <c r="S129" s="146"/>
      <c r="T129" s="147"/>
      <c r="U129" s="145"/>
      <c r="V129" s="268"/>
      <c r="Y129" s="253"/>
      <c r="Z129" s="253"/>
      <c r="AA129" s="253"/>
      <c r="AB129" s="253"/>
      <c r="AC129" s="133"/>
    </row>
    <row r="130" spans="1:29" s="252" customFormat="1" ht="24.95" customHeight="1">
      <c r="A130" s="550"/>
      <c r="B130" s="269"/>
      <c r="C130" s="270"/>
      <c r="D130" s="271"/>
      <c r="E130" s="271"/>
      <c r="F130" s="271"/>
      <c r="G130" s="272"/>
      <c r="H130" s="273"/>
      <c r="I130" s="274"/>
      <c r="J130" s="275"/>
      <c r="K130" s="274" t="s">
        <v>524</v>
      </c>
      <c r="L130" s="276">
        <f>SUM(L128:L129)</f>
        <v>185921946.50100002</v>
      </c>
      <c r="M130" s="276"/>
      <c r="N130" s="276"/>
      <c r="O130" s="277"/>
      <c r="P130" s="133"/>
      <c r="Q130" s="145"/>
      <c r="R130" s="146"/>
      <c r="S130" s="146"/>
      <c r="T130" s="147"/>
      <c r="U130" s="145"/>
      <c r="V130" s="268"/>
      <c r="Y130" s="253"/>
      <c r="Z130" s="253"/>
      <c r="AA130" s="253"/>
      <c r="AB130" s="253"/>
      <c r="AC130" s="133"/>
    </row>
    <row r="131" spans="1:29" s="252" customFormat="1" ht="24.95" customHeight="1" thickBot="1">
      <c r="A131" s="550"/>
      <c r="B131" s="278"/>
      <c r="C131" s="279"/>
      <c r="D131" s="280"/>
      <c r="E131" s="280"/>
      <c r="F131" s="280"/>
      <c r="G131" s="281"/>
      <c r="H131" s="282"/>
      <c r="I131" s="283"/>
      <c r="J131" s="284"/>
      <c r="K131" s="283" t="s">
        <v>119</v>
      </c>
      <c r="L131" s="285">
        <f>ROUNDDOWN(L130,-3)</f>
        <v>185921000</v>
      </c>
      <c r="M131" s="286"/>
      <c r="N131" s="286"/>
      <c r="O131" s="287"/>
      <c r="P131" s="133"/>
      <c r="Q131" s="145"/>
      <c r="R131" s="146"/>
      <c r="S131" s="146"/>
      <c r="T131" s="147"/>
      <c r="U131" s="145"/>
      <c r="V131" s="268"/>
      <c r="Y131" s="253"/>
      <c r="Z131" s="253"/>
      <c r="AA131" s="253"/>
      <c r="AB131" s="253"/>
      <c r="AC131" s="133"/>
    </row>
    <row r="132" spans="1:29" ht="21.95" customHeight="1">
      <c r="F132" s="144"/>
      <c r="G132" s="288"/>
      <c r="K132" s="144"/>
      <c r="L132" s="144"/>
      <c r="M132" s="144"/>
      <c r="N132" s="144"/>
      <c r="O132" s="144"/>
      <c r="Z132" s="132"/>
      <c r="AA132" s="132"/>
      <c r="AB132" s="132"/>
    </row>
    <row r="133" spans="1:29" ht="21.95" customHeight="1">
      <c r="D133" s="398" t="str">
        <f>REKAP!B42</f>
        <v>Terbilang :</v>
      </c>
      <c r="E133" s="397" t="str">
        <f>REKAP!D42</f>
        <v>Seratus Delapan Puluh Lima Juta Sembilan Ratus Dua Puluh Satu Ribu  Rupiah</v>
      </c>
      <c r="F133" s="144"/>
      <c r="G133" s="288"/>
      <c r="K133" s="144"/>
      <c r="L133" s="144"/>
      <c r="M133" s="144"/>
      <c r="N133" s="144"/>
      <c r="O133" s="144"/>
      <c r="Z133" s="132"/>
      <c r="AA133" s="132"/>
      <c r="AB133" s="132"/>
    </row>
    <row r="134" spans="1:29" ht="15.95" customHeight="1">
      <c r="F134" s="133"/>
      <c r="K134" s="143" t="str">
        <f>REKAP!H43</f>
        <v>Karanganyar,    Februari 2025</v>
      </c>
      <c r="M134" s="289"/>
      <c r="N134" s="289"/>
      <c r="O134" s="289"/>
      <c r="Z134" s="132"/>
      <c r="AA134" s="132"/>
      <c r="AB134" s="132"/>
    </row>
    <row r="135" spans="1:29" ht="15.95" customHeight="1">
      <c r="F135" s="202"/>
      <c r="K135" s="955" t="str">
        <f>REKAP!H44</f>
        <v>PEJABAT PENANDATANGAN KONTRAK</v>
      </c>
    </row>
    <row r="136" spans="1:29" ht="15.95" customHeight="1">
      <c r="K136" s="137" t="str">
        <f>REKAP!H45</f>
        <v>CAMAT JATEN</v>
      </c>
    </row>
    <row r="137" spans="1:29" ht="15.95" customHeight="1">
      <c r="F137" s="392"/>
      <c r="K137" s="143"/>
    </row>
    <row r="138" spans="1:29">
      <c r="A138" s="552"/>
      <c r="B138" s="132"/>
      <c r="G138" s="132"/>
      <c r="I138" s="132"/>
      <c r="K138" s="143"/>
      <c r="Z138" s="132"/>
      <c r="AA138" s="132"/>
      <c r="AB138" s="132"/>
    </row>
    <row r="139" spans="1:29">
      <c r="A139" s="552"/>
      <c r="B139" s="132"/>
      <c r="G139" s="132"/>
      <c r="I139" s="132"/>
      <c r="K139" s="143"/>
      <c r="Z139" s="132"/>
      <c r="AA139" s="132"/>
      <c r="AB139" s="132"/>
    </row>
    <row r="140" spans="1:29">
      <c r="A140" s="552"/>
      <c r="B140" s="132"/>
      <c r="G140" s="132"/>
      <c r="I140" s="132"/>
      <c r="K140" s="143"/>
      <c r="Z140" s="132"/>
      <c r="AA140" s="132"/>
      <c r="AB140" s="132"/>
    </row>
    <row r="141" spans="1:29">
      <c r="A141" s="552"/>
      <c r="B141" s="132"/>
      <c r="G141" s="132"/>
      <c r="I141" s="132"/>
      <c r="K141" s="143"/>
      <c r="Z141" s="132"/>
      <c r="AA141" s="132"/>
      <c r="AB141" s="132"/>
    </row>
    <row r="142" spans="1:29">
      <c r="A142" s="552"/>
      <c r="B142" s="132"/>
      <c r="G142" s="132"/>
      <c r="I142" s="132"/>
      <c r="K142" s="134" t="str">
        <f>REKAP!H51</f>
        <v>JULI PADMI HANDATANI, S.Sos., M.M</v>
      </c>
      <c r="Z142" s="132"/>
      <c r="AA142" s="132"/>
      <c r="AB142" s="132"/>
    </row>
    <row r="143" spans="1:29">
      <c r="A143" s="552"/>
      <c r="B143" s="132"/>
      <c r="G143" s="132"/>
      <c r="I143" s="132"/>
      <c r="K143" s="143" t="str">
        <f>REKAP!H52</f>
        <v>NIP. 197407 15199503 2 004</v>
      </c>
      <c r="Z143" s="132"/>
      <c r="AA143" s="132"/>
      <c r="AB143" s="132"/>
    </row>
    <row r="144" spans="1:29">
      <c r="A144" s="552"/>
      <c r="B144" s="132"/>
      <c r="G144" s="132"/>
      <c r="I144" s="132"/>
      <c r="K144" s="288"/>
      <c r="Z144" s="132"/>
      <c r="AA144" s="132"/>
      <c r="AB144" s="132"/>
    </row>
    <row r="145" spans="1:29">
      <c r="A145" s="552"/>
      <c r="B145" s="132"/>
      <c r="G145" s="132"/>
      <c r="I145" s="132"/>
      <c r="K145" s="144"/>
      <c r="Z145" s="132"/>
      <c r="AA145" s="132"/>
      <c r="AB145" s="132"/>
      <c r="AC145" s="132"/>
    </row>
    <row r="146" spans="1:29">
      <c r="A146" s="552"/>
      <c r="B146" s="132"/>
      <c r="G146" s="132"/>
      <c r="I146" s="132"/>
      <c r="K146" s="144"/>
      <c r="Z146" s="132"/>
      <c r="AA146" s="132"/>
      <c r="AB146" s="132"/>
      <c r="AC146" s="132"/>
    </row>
    <row r="157" spans="1:29">
      <c r="A157" s="552"/>
      <c r="B157" s="132"/>
      <c r="G157" s="132"/>
      <c r="I157" s="132"/>
      <c r="P157" s="132"/>
      <c r="Q157" s="132"/>
      <c r="T157" s="132"/>
      <c r="U157" s="132"/>
      <c r="Z157" s="132"/>
      <c r="AA157" s="132"/>
      <c r="AB157" s="132"/>
      <c r="AC157" s="132"/>
    </row>
    <row r="158" spans="1:29">
      <c r="A158" s="552"/>
      <c r="B158" s="132"/>
      <c r="G158" s="132"/>
      <c r="I158" s="132"/>
      <c r="P158" s="132"/>
      <c r="Q158" s="132"/>
      <c r="T158" s="132"/>
      <c r="U158" s="132"/>
      <c r="Z158" s="132"/>
      <c r="AA158" s="132"/>
      <c r="AB158" s="132"/>
      <c r="AC158" s="132"/>
    </row>
    <row r="159" spans="1:29">
      <c r="A159" s="552"/>
      <c r="B159" s="132"/>
      <c r="G159" s="132"/>
      <c r="I159" s="132"/>
      <c r="P159" s="132"/>
      <c r="Q159" s="132"/>
      <c r="T159" s="132"/>
      <c r="U159" s="132"/>
      <c r="Z159" s="132"/>
      <c r="AA159" s="132"/>
      <c r="AB159" s="132"/>
      <c r="AC159" s="132"/>
    </row>
    <row r="160" spans="1:29">
      <c r="A160" s="552"/>
      <c r="B160" s="132"/>
      <c r="G160" s="132"/>
      <c r="I160" s="132"/>
      <c r="P160" s="132"/>
      <c r="Q160" s="132"/>
      <c r="T160" s="132"/>
      <c r="U160" s="132"/>
      <c r="Z160" s="132"/>
      <c r="AA160" s="132"/>
      <c r="AB160" s="132"/>
      <c r="AC160" s="132"/>
    </row>
    <row r="161" spans="1:29">
      <c r="A161" s="552"/>
      <c r="B161" s="132"/>
      <c r="G161" s="132"/>
      <c r="I161" s="132"/>
      <c r="P161" s="132"/>
      <c r="Q161" s="132"/>
      <c r="T161" s="132"/>
      <c r="U161" s="132"/>
      <c r="Z161" s="132"/>
      <c r="AA161" s="132"/>
      <c r="AB161" s="132"/>
      <c r="AC161" s="132"/>
    </row>
    <row r="162" spans="1:29">
      <c r="A162" s="552"/>
      <c r="B162" s="132"/>
      <c r="G162" s="132"/>
      <c r="I162" s="132"/>
      <c r="P162" s="132"/>
      <c r="Q162" s="132"/>
      <c r="T162" s="132"/>
      <c r="U162" s="132"/>
      <c r="Z162" s="132"/>
      <c r="AA162" s="132"/>
      <c r="AB162" s="132"/>
      <c r="AC162" s="132"/>
    </row>
    <row r="163" spans="1:29">
      <c r="A163" s="552"/>
      <c r="B163" s="132"/>
      <c r="G163" s="132"/>
      <c r="I163" s="132"/>
      <c r="P163" s="132"/>
      <c r="Q163" s="132"/>
      <c r="T163" s="132"/>
      <c r="U163" s="132"/>
      <c r="Z163" s="132"/>
      <c r="AA163" s="132"/>
      <c r="AB163" s="132"/>
      <c r="AC163" s="132"/>
    </row>
    <row r="164" spans="1:29">
      <c r="A164" s="552"/>
      <c r="B164" s="132"/>
      <c r="G164" s="132"/>
      <c r="I164" s="132"/>
      <c r="P164" s="132"/>
      <c r="Q164" s="132"/>
      <c r="T164" s="132"/>
      <c r="U164" s="132"/>
      <c r="Z164" s="132"/>
      <c r="AA164" s="132"/>
      <c r="AB164" s="132"/>
      <c r="AC164" s="132"/>
    </row>
    <row r="165" spans="1:29">
      <c r="A165" s="552"/>
      <c r="B165" s="132"/>
      <c r="G165" s="132"/>
      <c r="I165" s="132"/>
      <c r="P165" s="132"/>
      <c r="Q165" s="132"/>
      <c r="T165" s="132"/>
      <c r="U165" s="132"/>
      <c r="Z165" s="132"/>
      <c r="AA165" s="132"/>
      <c r="AB165" s="132"/>
      <c r="AC165" s="132"/>
    </row>
    <row r="166" spans="1:29">
      <c r="A166" s="552"/>
      <c r="B166" s="132"/>
      <c r="G166" s="132"/>
      <c r="I166" s="132"/>
      <c r="P166" s="132"/>
      <c r="Q166" s="132"/>
      <c r="T166" s="132"/>
      <c r="U166" s="132"/>
      <c r="Z166" s="132"/>
      <c r="AA166" s="132"/>
      <c r="AB166" s="132"/>
      <c r="AC166" s="132"/>
    </row>
    <row r="167" spans="1:29">
      <c r="A167" s="552"/>
      <c r="B167" s="132"/>
      <c r="G167" s="132"/>
      <c r="I167" s="132"/>
      <c r="P167" s="132"/>
      <c r="Q167" s="132"/>
      <c r="T167" s="132"/>
      <c r="U167" s="132"/>
      <c r="Z167" s="132"/>
      <c r="AA167" s="132"/>
      <c r="AB167" s="132"/>
      <c r="AC167" s="132"/>
    </row>
    <row r="168" spans="1:29">
      <c r="A168" s="552"/>
      <c r="B168" s="132"/>
      <c r="G168" s="132"/>
      <c r="I168" s="132"/>
      <c r="P168" s="132"/>
      <c r="Q168" s="132"/>
      <c r="T168" s="132"/>
      <c r="U168" s="132"/>
      <c r="Z168" s="132"/>
      <c r="AA168" s="132"/>
      <c r="AB168" s="132"/>
      <c r="AC168" s="132"/>
    </row>
    <row r="169" spans="1:29">
      <c r="A169" s="552"/>
      <c r="B169" s="132"/>
      <c r="G169" s="132"/>
      <c r="I169" s="132"/>
      <c r="P169" s="132"/>
      <c r="Q169" s="132"/>
      <c r="T169" s="132"/>
      <c r="U169" s="132"/>
      <c r="Z169" s="132"/>
      <c r="AA169" s="132"/>
      <c r="AB169" s="132"/>
      <c r="AC169" s="132"/>
    </row>
    <row r="170" spans="1:29">
      <c r="A170" s="552"/>
      <c r="B170" s="132"/>
      <c r="G170" s="132"/>
      <c r="I170" s="132"/>
      <c r="P170" s="132"/>
      <c r="Q170" s="132"/>
      <c r="T170" s="132"/>
      <c r="U170" s="132"/>
      <c r="Z170" s="132"/>
      <c r="AA170" s="132"/>
      <c r="AB170" s="132"/>
      <c r="AC170" s="132"/>
    </row>
    <row r="171" spans="1:29">
      <c r="A171" s="552"/>
      <c r="B171" s="132"/>
      <c r="G171" s="132"/>
      <c r="I171" s="132"/>
      <c r="P171" s="132"/>
      <c r="Q171" s="132"/>
      <c r="T171" s="132"/>
      <c r="U171" s="132"/>
      <c r="Z171" s="132"/>
      <c r="AA171" s="132"/>
      <c r="AB171" s="132"/>
      <c r="AC171" s="132"/>
    </row>
    <row r="172" spans="1:29">
      <c r="A172" s="552"/>
      <c r="B172" s="132"/>
      <c r="G172" s="132"/>
      <c r="I172" s="132"/>
      <c r="P172" s="132"/>
      <c r="Q172" s="132"/>
      <c r="T172" s="132"/>
      <c r="U172" s="132"/>
      <c r="Z172" s="132"/>
      <c r="AA172" s="132"/>
      <c r="AB172" s="132"/>
      <c r="AC172" s="132"/>
    </row>
    <row r="173" spans="1:29">
      <c r="A173" s="552"/>
      <c r="B173" s="132"/>
      <c r="G173" s="132"/>
      <c r="I173" s="132"/>
      <c r="P173" s="132"/>
      <c r="Q173" s="132"/>
      <c r="T173" s="132"/>
      <c r="U173" s="132"/>
      <c r="Z173" s="132"/>
      <c r="AA173" s="132"/>
      <c r="AB173" s="132"/>
      <c r="AC173" s="132"/>
    </row>
    <row r="174" spans="1:29">
      <c r="A174" s="552"/>
      <c r="B174" s="132"/>
      <c r="G174" s="132"/>
      <c r="I174" s="132"/>
      <c r="P174" s="132"/>
      <c r="Q174" s="132"/>
      <c r="T174" s="132"/>
      <c r="U174" s="132"/>
      <c r="Z174" s="132"/>
      <c r="AA174" s="132"/>
      <c r="AB174" s="132"/>
      <c r="AC174" s="132"/>
    </row>
    <row r="175" spans="1:29">
      <c r="A175" s="552"/>
      <c r="B175" s="132"/>
      <c r="G175" s="132"/>
      <c r="I175" s="132"/>
      <c r="P175" s="132"/>
      <c r="Q175" s="132"/>
      <c r="T175" s="132"/>
      <c r="U175" s="132"/>
      <c r="Z175" s="132"/>
      <c r="AA175" s="132"/>
      <c r="AB175" s="132"/>
      <c r="AC175" s="132"/>
    </row>
    <row r="176" spans="1:29">
      <c r="A176" s="552"/>
      <c r="B176" s="132"/>
      <c r="G176" s="132"/>
      <c r="I176" s="132"/>
      <c r="P176" s="132"/>
      <c r="Q176" s="132"/>
      <c r="T176" s="132"/>
      <c r="U176" s="132"/>
      <c r="Z176" s="132"/>
      <c r="AA176" s="132"/>
      <c r="AB176" s="132"/>
      <c r="AC176" s="132"/>
    </row>
    <row r="177" spans="1:29">
      <c r="A177" s="552"/>
      <c r="B177" s="132"/>
      <c r="G177" s="132"/>
      <c r="I177" s="132"/>
      <c r="P177" s="132"/>
      <c r="Q177" s="132"/>
      <c r="T177" s="132"/>
      <c r="U177" s="132"/>
      <c r="Z177" s="132"/>
      <c r="AA177" s="132"/>
      <c r="AB177" s="132"/>
      <c r="AC177" s="132"/>
    </row>
    <row r="178" spans="1:29">
      <c r="A178" s="552"/>
      <c r="B178" s="132"/>
      <c r="G178" s="132"/>
      <c r="I178" s="132"/>
      <c r="P178" s="132"/>
      <c r="Q178" s="132"/>
      <c r="T178" s="132"/>
      <c r="U178" s="132"/>
      <c r="Z178" s="132"/>
      <c r="AA178" s="132"/>
      <c r="AB178" s="132"/>
      <c r="AC178" s="132"/>
    </row>
    <row r="179" spans="1:29">
      <c r="A179" s="552"/>
      <c r="B179" s="132"/>
      <c r="G179" s="132"/>
      <c r="I179" s="132"/>
      <c r="P179" s="132"/>
      <c r="Q179" s="132"/>
      <c r="T179" s="132"/>
      <c r="U179" s="132"/>
      <c r="Z179" s="132"/>
      <c r="AA179" s="132"/>
      <c r="AB179" s="132"/>
      <c r="AC179" s="132"/>
    </row>
    <row r="180" spans="1:29">
      <c r="A180" s="552"/>
      <c r="B180" s="132"/>
      <c r="G180" s="132"/>
      <c r="I180" s="132"/>
      <c r="P180" s="132"/>
      <c r="Q180" s="132"/>
      <c r="T180" s="132"/>
      <c r="U180" s="132"/>
      <c r="Z180" s="132"/>
      <c r="AA180" s="132"/>
      <c r="AB180" s="132"/>
      <c r="AC180" s="132"/>
    </row>
    <row r="181" spans="1:29">
      <c r="A181" s="552"/>
      <c r="B181" s="132"/>
      <c r="G181" s="132"/>
      <c r="I181" s="132"/>
      <c r="P181" s="132"/>
      <c r="Q181" s="132"/>
      <c r="T181" s="132"/>
      <c r="U181" s="132"/>
      <c r="Z181" s="132"/>
      <c r="AA181" s="132"/>
      <c r="AB181" s="132"/>
      <c r="AC181" s="132"/>
    </row>
    <row r="182" spans="1:29">
      <c r="A182" s="552"/>
      <c r="B182" s="132"/>
      <c r="G182" s="132"/>
      <c r="I182" s="132"/>
      <c r="P182" s="132"/>
      <c r="Q182" s="132"/>
      <c r="T182" s="132"/>
      <c r="U182" s="132"/>
      <c r="Z182" s="132"/>
      <c r="AA182" s="132"/>
      <c r="AB182" s="132"/>
      <c r="AC182" s="132"/>
    </row>
    <row r="183" spans="1:29">
      <c r="A183" s="552"/>
      <c r="B183" s="132"/>
      <c r="G183" s="132"/>
      <c r="I183" s="132"/>
      <c r="P183" s="132"/>
      <c r="Q183" s="132"/>
      <c r="T183" s="132"/>
      <c r="U183" s="132"/>
      <c r="Z183" s="132"/>
      <c r="AA183" s="132"/>
      <c r="AB183" s="132"/>
      <c r="AC183" s="132"/>
    </row>
    <row r="184" spans="1:29">
      <c r="A184" s="552"/>
      <c r="B184" s="132"/>
      <c r="G184" s="132"/>
      <c r="I184" s="132"/>
      <c r="P184" s="132"/>
      <c r="Q184" s="132"/>
      <c r="T184" s="132"/>
      <c r="U184" s="132"/>
      <c r="Z184" s="132"/>
      <c r="AA184" s="132"/>
      <c r="AB184" s="132"/>
      <c r="AC184" s="132"/>
    </row>
    <row r="185" spans="1:29">
      <c r="A185" s="552"/>
      <c r="B185" s="132"/>
      <c r="G185" s="132"/>
      <c r="I185" s="132"/>
      <c r="P185" s="132"/>
      <c r="Q185" s="132"/>
      <c r="T185" s="132"/>
      <c r="U185" s="132"/>
      <c r="Z185" s="132"/>
      <c r="AA185" s="132"/>
      <c r="AB185" s="132"/>
      <c r="AC185" s="132"/>
    </row>
    <row r="186" spans="1:29">
      <c r="A186" s="552"/>
      <c r="B186" s="132"/>
      <c r="G186" s="132"/>
      <c r="I186" s="132"/>
      <c r="P186" s="132"/>
      <c r="Q186" s="132"/>
      <c r="T186" s="132"/>
      <c r="U186" s="132"/>
      <c r="Z186" s="132"/>
      <c r="AA186" s="132"/>
      <c r="AB186" s="132"/>
      <c r="AC186" s="132"/>
    </row>
    <row r="187" spans="1:29">
      <c r="A187" s="552"/>
      <c r="B187" s="132"/>
      <c r="G187" s="132"/>
      <c r="I187" s="132"/>
      <c r="P187" s="132"/>
      <c r="Q187" s="132"/>
      <c r="T187" s="132"/>
      <c r="U187" s="132"/>
      <c r="Z187" s="132"/>
      <c r="AA187" s="132"/>
      <c r="AB187" s="132"/>
      <c r="AC187" s="132"/>
    </row>
    <row r="188" spans="1:29">
      <c r="A188" s="552"/>
      <c r="B188" s="132"/>
      <c r="G188" s="132"/>
      <c r="I188" s="132"/>
      <c r="P188" s="132"/>
      <c r="Q188" s="132"/>
      <c r="T188" s="132"/>
      <c r="U188" s="132"/>
      <c r="Z188" s="132"/>
      <c r="AA188" s="132"/>
      <c r="AB188" s="132"/>
      <c r="AC188" s="132"/>
    </row>
    <row r="189" spans="1:29">
      <c r="A189" s="552"/>
      <c r="B189" s="132"/>
      <c r="G189" s="132"/>
      <c r="I189" s="132"/>
      <c r="P189" s="132"/>
      <c r="Q189" s="132"/>
      <c r="T189" s="132"/>
      <c r="U189" s="132"/>
      <c r="Z189" s="132"/>
      <c r="AA189" s="132"/>
      <c r="AB189" s="132"/>
      <c r="AC189" s="132"/>
    </row>
    <row r="190" spans="1:29">
      <c r="A190" s="552"/>
      <c r="B190" s="132"/>
      <c r="G190" s="132"/>
      <c r="I190" s="132"/>
      <c r="P190" s="132"/>
      <c r="Q190" s="132"/>
      <c r="T190" s="132"/>
      <c r="U190" s="132"/>
      <c r="Z190" s="132"/>
      <c r="AA190" s="132"/>
      <c r="AB190" s="132"/>
      <c r="AC190" s="132"/>
    </row>
    <row r="191" spans="1:29">
      <c r="A191" s="552"/>
      <c r="B191" s="132"/>
      <c r="G191" s="132"/>
      <c r="I191" s="132"/>
      <c r="P191" s="132"/>
      <c r="Q191" s="132"/>
      <c r="T191" s="132"/>
      <c r="U191" s="132"/>
      <c r="Z191" s="132"/>
      <c r="AA191" s="132"/>
      <c r="AB191" s="132"/>
      <c r="AC191" s="132"/>
    </row>
    <row r="192" spans="1:29">
      <c r="A192" s="552"/>
      <c r="B192" s="132"/>
      <c r="G192" s="132"/>
      <c r="I192" s="132"/>
      <c r="P192" s="132"/>
      <c r="Q192" s="132"/>
      <c r="T192" s="132"/>
      <c r="U192" s="132"/>
      <c r="Z192" s="132"/>
      <c r="AA192" s="132"/>
      <c r="AB192" s="132"/>
      <c r="AC192" s="132"/>
    </row>
    <row r="193" spans="1:29">
      <c r="A193" s="552"/>
      <c r="B193" s="132"/>
      <c r="G193" s="132"/>
      <c r="I193" s="132"/>
      <c r="P193" s="132"/>
      <c r="Q193" s="132"/>
      <c r="T193" s="132"/>
      <c r="U193" s="132"/>
      <c r="Z193" s="132"/>
      <c r="AA193" s="132"/>
      <c r="AB193" s="132"/>
      <c r="AC193" s="132"/>
    </row>
    <row r="194" spans="1:29">
      <c r="A194" s="552"/>
      <c r="B194" s="132"/>
      <c r="G194" s="132"/>
      <c r="I194" s="132"/>
      <c r="P194" s="132"/>
      <c r="Q194" s="132"/>
      <c r="T194" s="132"/>
      <c r="U194" s="132"/>
      <c r="Z194" s="132"/>
      <c r="AA194" s="132"/>
      <c r="AB194" s="132"/>
      <c r="AC194" s="132"/>
    </row>
    <row r="195" spans="1:29">
      <c r="A195" s="552"/>
      <c r="B195" s="132"/>
      <c r="G195" s="132"/>
      <c r="I195" s="132"/>
      <c r="P195" s="132"/>
      <c r="Q195" s="132"/>
      <c r="T195" s="132"/>
      <c r="U195" s="132"/>
      <c r="Z195" s="132"/>
      <c r="AA195" s="132"/>
      <c r="AB195" s="132"/>
      <c r="AC195" s="132"/>
    </row>
    <row r="196" spans="1:29">
      <c r="A196" s="552"/>
      <c r="B196" s="132"/>
      <c r="G196" s="132"/>
      <c r="I196" s="132"/>
      <c r="P196" s="132"/>
      <c r="Q196" s="132"/>
      <c r="T196" s="132"/>
      <c r="U196" s="132"/>
      <c r="Z196" s="132"/>
      <c r="AA196" s="132"/>
      <c r="AB196" s="132"/>
      <c r="AC196" s="132"/>
    </row>
    <row r="197" spans="1:29">
      <c r="A197" s="552"/>
      <c r="B197" s="132"/>
      <c r="G197" s="132"/>
      <c r="I197" s="132"/>
      <c r="P197" s="132"/>
      <c r="Q197" s="132"/>
      <c r="T197" s="132"/>
      <c r="U197" s="132"/>
      <c r="Z197" s="132"/>
      <c r="AA197" s="132"/>
      <c r="AB197" s="132"/>
      <c r="AC197" s="132"/>
    </row>
    <row r="198" spans="1:29">
      <c r="A198" s="552"/>
      <c r="B198" s="132"/>
      <c r="G198" s="132"/>
      <c r="I198" s="132"/>
      <c r="P198" s="132"/>
      <c r="Q198" s="132"/>
      <c r="T198" s="132"/>
      <c r="U198" s="132"/>
      <c r="Z198" s="132"/>
      <c r="AA198" s="132"/>
      <c r="AB198" s="132"/>
      <c r="AC198" s="132"/>
    </row>
    <row r="199" spans="1:29">
      <c r="A199" s="552"/>
      <c r="B199" s="132"/>
      <c r="G199" s="132"/>
      <c r="I199" s="132"/>
      <c r="P199" s="132"/>
      <c r="Q199" s="132"/>
      <c r="T199" s="132"/>
      <c r="U199" s="132"/>
      <c r="Z199" s="132"/>
      <c r="AA199" s="132"/>
      <c r="AB199" s="132"/>
      <c r="AC199" s="132"/>
    </row>
    <row r="200" spans="1:29">
      <c r="A200" s="552"/>
      <c r="B200" s="132"/>
      <c r="G200" s="132"/>
      <c r="I200" s="132"/>
      <c r="P200" s="132"/>
      <c r="Q200" s="132"/>
      <c r="T200" s="132"/>
      <c r="U200" s="132"/>
      <c r="Z200" s="132"/>
      <c r="AA200" s="132"/>
      <c r="AB200" s="132"/>
      <c r="AC200" s="132"/>
    </row>
    <row r="201" spans="1:29">
      <c r="A201" s="552"/>
      <c r="B201" s="132"/>
      <c r="G201" s="132"/>
      <c r="I201" s="132"/>
      <c r="P201" s="132"/>
      <c r="Q201" s="132"/>
      <c r="T201" s="132"/>
      <c r="U201" s="132"/>
      <c r="Z201" s="132"/>
      <c r="AA201" s="132"/>
      <c r="AB201" s="132"/>
      <c r="AC201" s="132"/>
    </row>
    <row r="202" spans="1:29">
      <c r="A202" s="552"/>
      <c r="B202" s="132"/>
      <c r="G202" s="132"/>
      <c r="I202" s="132"/>
      <c r="P202" s="132"/>
      <c r="Q202" s="132"/>
      <c r="T202" s="132"/>
      <c r="U202" s="132"/>
      <c r="Z202" s="132"/>
      <c r="AA202" s="132"/>
      <c r="AB202" s="132"/>
      <c r="AC202" s="132"/>
    </row>
    <row r="203" spans="1:29">
      <c r="A203" s="552"/>
      <c r="B203" s="132"/>
      <c r="G203" s="132"/>
      <c r="I203" s="132"/>
      <c r="P203" s="132"/>
      <c r="Q203" s="132"/>
      <c r="T203" s="132"/>
      <c r="U203" s="132"/>
      <c r="Z203" s="132"/>
      <c r="AA203" s="132"/>
      <c r="AB203" s="132"/>
      <c r="AC203" s="132"/>
    </row>
    <row r="204" spans="1:29">
      <c r="A204" s="552"/>
      <c r="B204" s="132"/>
      <c r="G204" s="132"/>
      <c r="I204" s="132"/>
      <c r="P204" s="132"/>
      <c r="Q204" s="132"/>
      <c r="T204" s="132"/>
      <c r="U204" s="132"/>
      <c r="Z204" s="132"/>
      <c r="AA204" s="132"/>
      <c r="AB204" s="132"/>
      <c r="AC204" s="132"/>
    </row>
    <row r="205" spans="1:29">
      <c r="A205" s="552"/>
      <c r="B205" s="132"/>
      <c r="G205" s="132"/>
      <c r="I205" s="132"/>
      <c r="P205" s="132"/>
      <c r="Q205" s="132"/>
      <c r="T205" s="132"/>
      <c r="U205" s="132"/>
      <c r="Z205" s="132"/>
      <c r="AA205" s="132"/>
      <c r="AB205" s="132"/>
      <c r="AC205" s="132"/>
    </row>
    <row r="206" spans="1:29">
      <c r="A206" s="552"/>
      <c r="B206" s="132"/>
      <c r="G206" s="132"/>
      <c r="I206" s="132"/>
      <c r="P206" s="132"/>
      <c r="Q206" s="132"/>
      <c r="T206" s="132"/>
      <c r="U206" s="132"/>
      <c r="Z206" s="132"/>
      <c r="AA206" s="132"/>
      <c r="AB206" s="132"/>
      <c r="AC206" s="132"/>
    </row>
    <row r="207" spans="1:29">
      <c r="A207" s="552"/>
      <c r="B207" s="132"/>
      <c r="G207" s="132"/>
      <c r="I207" s="132"/>
      <c r="P207" s="132"/>
      <c r="Q207" s="132"/>
      <c r="T207" s="132"/>
      <c r="U207" s="132"/>
      <c r="Z207" s="132"/>
      <c r="AA207" s="132"/>
      <c r="AB207" s="132"/>
      <c r="AC207" s="132"/>
    </row>
    <row r="208" spans="1:29">
      <c r="A208" s="552"/>
      <c r="B208" s="132"/>
      <c r="G208" s="132"/>
      <c r="I208" s="132"/>
      <c r="P208" s="132"/>
      <c r="Q208" s="132"/>
      <c r="T208" s="132"/>
      <c r="U208" s="132"/>
      <c r="Z208" s="132"/>
      <c r="AA208" s="132"/>
      <c r="AB208" s="132"/>
      <c r="AC208" s="132"/>
    </row>
    <row r="209" spans="1:29">
      <c r="A209" s="552"/>
      <c r="B209" s="132"/>
      <c r="G209" s="132"/>
      <c r="I209" s="132"/>
      <c r="P209" s="132"/>
      <c r="Q209" s="132"/>
      <c r="T209" s="132"/>
      <c r="U209" s="132"/>
      <c r="Z209" s="132"/>
      <c r="AA209" s="132"/>
      <c r="AB209" s="132"/>
      <c r="AC209" s="132"/>
    </row>
    <row r="210" spans="1:29">
      <c r="A210" s="552"/>
      <c r="B210" s="132"/>
      <c r="G210" s="132"/>
      <c r="I210" s="132"/>
      <c r="P210" s="132"/>
      <c r="Q210" s="132"/>
      <c r="T210" s="132"/>
      <c r="U210" s="132"/>
      <c r="Z210" s="132"/>
      <c r="AA210" s="132"/>
      <c r="AB210" s="132"/>
      <c r="AC210" s="132"/>
    </row>
    <row r="211" spans="1:29">
      <c r="A211" s="552"/>
      <c r="B211" s="132"/>
      <c r="G211" s="132"/>
      <c r="I211" s="132"/>
      <c r="P211" s="132"/>
      <c r="Q211" s="132"/>
      <c r="T211" s="132"/>
      <c r="U211" s="132"/>
      <c r="Z211" s="132"/>
      <c r="AA211" s="132"/>
      <c r="AB211" s="132"/>
      <c r="AC211" s="132"/>
    </row>
    <row r="212" spans="1:29">
      <c r="A212" s="552"/>
      <c r="B212" s="132"/>
      <c r="G212" s="132"/>
      <c r="I212" s="132"/>
      <c r="P212" s="132"/>
      <c r="Q212" s="132"/>
      <c r="T212" s="132"/>
      <c r="U212" s="132"/>
      <c r="Z212" s="132"/>
      <c r="AA212" s="132"/>
      <c r="AB212" s="132"/>
      <c r="AC212" s="132"/>
    </row>
    <row r="213" spans="1:29">
      <c r="A213" s="552"/>
      <c r="B213" s="132"/>
      <c r="G213" s="132"/>
      <c r="I213" s="132"/>
      <c r="P213" s="132"/>
      <c r="Q213" s="132"/>
      <c r="T213" s="132"/>
      <c r="U213" s="132"/>
      <c r="Z213" s="132"/>
      <c r="AA213" s="132"/>
      <c r="AB213" s="132"/>
      <c r="AC213" s="132"/>
    </row>
    <row r="214" spans="1:29">
      <c r="A214" s="552"/>
      <c r="B214" s="132"/>
      <c r="G214" s="132"/>
      <c r="I214" s="132"/>
      <c r="P214" s="132"/>
      <c r="Q214" s="132"/>
      <c r="T214" s="132"/>
      <c r="U214" s="132"/>
      <c r="Z214" s="132"/>
      <c r="AA214" s="132"/>
      <c r="AB214" s="132"/>
      <c r="AC214" s="132"/>
    </row>
    <row r="215" spans="1:29">
      <c r="A215" s="552"/>
      <c r="B215" s="132"/>
      <c r="G215" s="132"/>
      <c r="I215" s="132"/>
      <c r="P215" s="132"/>
      <c r="Q215" s="132"/>
      <c r="T215" s="132"/>
      <c r="U215" s="132"/>
      <c r="Z215" s="132"/>
      <c r="AA215" s="132"/>
      <c r="AB215" s="132"/>
      <c r="AC215" s="132"/>
    </row>
    <row r="216" spans="1:29">
      <c r="A216" s="552"/>
      <c r="B216" s="132"/>
      <c r="G216" s="132"/>
      <c r="I216" s="132"/>
      <c r="P216" s="132"/>
      <c r="Q216" s="132"/>
      <c r="T216" s="132"/>
      <c r="U216" s="132"/>
      <c r="Z216" s="132"/>
      <c r="AA216" s="132"/>
      <c r="AB216" s="132"/>
      <c r="AC216" s="132"/>
    </row>
    <row r="217" spans="1:29">
      <c r="A217" s="552"/>
      <c r="B217" s="132"/>
      <c r="G217" s="132"/>
      <c r="I217" s="132"/>
      <c r="P217" s="132"/>
      <c r="Q217" s="132"/>
      <c r="T217" s="132"/>
      <c r="U217" s="132"/>
      <c r="Z217" s="132"/>
      <c r="AA217" s="132"/>
      <c r="AB217" s="132"/>
      <c r="AC217" s="132"/>
    </row>
    <row r="218" spans="1:29">
      <c r="A218" s="552"/>
      <c r="B218" s="132"/>
      <c r="G218" s="132"/>
      <c r="I218" s="132"/>
      <c r="P218" s="132"/>
      <c r="Q218" s="132"/>
      <c r="T218" s="132"/>
      <c r="U218" s="132"/>
      <c r="Z218" s="132"/>
      <c r="AA218" s="132"/>
      <c r="AB218" s="132"/>
      <c r="AC218" s="132"/>
    </row>
    <row r="219" spans="1:29">
      <c r="A219" s="552"/>
      <c r="B219" s="132"/>
      <c r="G219" s="132"/>
      <c r="I219" s="132"/>
      <c r="P219" s="132"/>
      <c r="Q219" s="132"/>
      <c r="T219" s="132"/>
      <c r="U219" s="132"/>
      <c r="Z219" s="132"/>
      <c r="AA219" s="132"/>
      <c r="AB219" s="132"/>
      <c r="AC219" s="132"/>
    </row>
    <row r="220" spans="1:29">
      <c r="A220" s="552"/>
      <c r="B220" s="132"/>
      <c r="G220" s="132"/>
      <c r="I220" s="132"/>
      <c r="P220" s="132"/>
      <c r="Q220" s="132"/>
      <c r="T220" s="132"/>
      <c r="U220" s="132"/>
      <c r="Z220" s="132"/>
      <c r="AA220" s="132"/>
      <c r="AB220" s="132"/>
      <c r="AC220" s="132"/>
    </row>
    <row r="221" spans="1:29">
      <c r="A221" s="552"/>
      <c r="B221" s="132"/>
      <c r="G221" s="132"/>
      <c r="I221" s="132"/>
      <c r="P221" s="132"/>
      <c r="Q221" s="132"/>
      <c r="T221" s="132"/>
      <c r="U221" s="132"/>
      <c r="Z221" s="132"/>
      <c r="AA221" s="132"/>
      <c r="AB221" s="132"/>
      <c r="AC221" s="132"/>
    </row>
    <row r="222" spans="1:29">
      <c r="A222" s="552"/>
      <c r="B222" s="132"/>
      <c r="G222" s="132"/>
      <c r="I222" s="132"/>
      <c r="P222" s="132"/>
      <c r="Q222" s="132"/>
      <c r="T222" s="132"/>
      <c r="U222" s="132"/>
      <c r="Z222" s="132"/>
      <c r="AA222" s="132"/>
      <c r="AB222" s="132"/>
      <c r="AC222" s="132"/>
    </row>
    <row r="223" spans="1:29">
      <c r="A223" s="552"/>
      <c r="B223" s="132"/>
      <c r="G223" s="132"/>
      <c r="I223" s="132"/>
      <c r="P223" s="132"/>
      <c r="Q223" s="132"/>
      <c r="T223" s="132"/>
      <c r="U223" s="132"/>
      <c r="Z223" s="132"/>
      <c r="AA223" s="132"/>
      <c r="AB223" s="132"/>
      <c r="AC223" s="132"/>
    </row>
    <row r="224" spans="1:29">
      <c r="A224" s="552"/>
      <c r="B224" s="132"/>
      <c r="G224" s="132"/>
      <c r="I224" s="132"/>
      <c r="P224" s="132"/>
      <c r="Q224" s="132"/>
      <c r="T224" s="132"/>
      <c r="U224" s="132"/>
      <c r="Z224" s="132"/>
      <c r="AA224" s="132"/>
      <c r="AB224" s="132"/>
      <c r="AC224" s="132"/>
    </row>
    <row r="225" spans="1:29">
      <c r="A225" s="552"/>
      <c r="B225" s="132"/>
      <c r="G225" s="132"/>
      <c r="I225" s="132"/>
      <c r="P225" s="132"/>
      <c r="Q225" s="132"/>
      <c r="T225" s="132"/>
      <c r="U225" s="132"/>
      <c r="Z225" s="132"/>
      <c r="AA225" s="132"/>
      <c r="AB225" s="132"/>
      <c r="AC225" s="132"/>
    </row>
    <row r="226" spans="1:29">
      <c r="A226" s="552"/>
      <c r="B226" s="132"/>
      <c r="G226" s="132"/>
      <c r="I226" s="132"/>
      <c r="P226" s="132"/>
      <c r="Q226" s="132"/>
      <c r="T226" s="132"/>
      <c r="U226" s="132"/>
      <c r="Z226" s="132"/>
      <c r="AA226" s="132"/>
      <c r="AB226" s="132"/>
      <c r="AC226" s="132"/>
    </row>
    <row r="227" spans="1:29">
      <c r="A227" s="552"/>
      <c r="B227" s="132"/>
      <c r="G227" s="132"/>
      <c r="I227" s="132"/>
      <c r="P227" s="132"/>
      <c r="Q227" s="132"/>
      <c r="T227" s="132"/>
      <c r="U227" s="132"/>
      <c r="Z227" s="132"/>
      <c r="AA227" s="132"/>
      <c r="AB227" s="132"/>
      <c r="AC227" s="132"/>
    </row>
    <row r="228" spans="1:29">
      <c r="A228" s="552"/>
      <c r="B228" s="132"/>
      <c r="G228" s="132"/>
      <c r="I228" s="132"/>
      <c r="P228" s="132"/>
      <c r="Q228" s="132"/>
      <c r="T228" s="132"/>
      <c r="U228" s="132"/>
      <c r="Z228" s="132"/>
      <c r="AA228" s="132"/>
      <c r="AB228" s="132"/>
      <c r="AC228" s="132"/>
    </row>
    <row r="229" spans="1:29">
      <c r="A229" s="552"/>
      <c r="B229" s="132"/>
      <c r="G229" s="132"/>
      <c r="I229" s="132"/>
      <c r="P229" s="132"/>
      <c r="Q229" s="132"/>
      <c r="T229" s="132"/>
      <c r="U229" s="132"/>
      <c r="Z229" s="132"/>
      <c r="AA229" s="132"/>
      <c r="AB229" s="132"/>
      <c r="AC229" s="132"/>
    </row>
    <row r="230" spans="1:29">
      <c r="A230" s="552"/>
      <c r="B230" s="132"/>
      <c r="G230" s="132"/>
      <c r="I230" s="132"/>
      <c r="P230" s="132"/>
      <c r="Q230" s="132"/>
      <c r="T230" s="132"/>
      <c r="U230" s="132"/>
      <c r="Z230" s="132"/>
      <c r="AA230" s="132"/>
      <c r="AB230" s="132"/>
      <c r="AC230" s="132"/>
    </row>
    <row r="231" spans="1:29">
      <c r="A231" s="552"/>
      <c r="B231" s="132"/>
      <c r="G231" s="132"/>
      <c r="I231" s="132"/>
      <c r="P231" s="132"/>
      <c r="Q231" s="132"/>
      <c r="T231" s="132"/>
      <c r="U231" s="132"/>
      <c r="Z231" s="132"/>
      <c r="AA231" s="132"/>
      <c r="AB231" s="132"/>
      <c r="AC231" s="132"/>
    </row>
    <row r="232" spans="1:29">
      <c r="A232" s="552"/>
      <c r="B232" s="132"/>
      <c r="G232" s="132"/>
      <c r="I232" s="132"/>
      <c r="P232" s="132"/>
      <c r="Q232" s="132"/>
      <c r="T232" s="132"/>
      <c r="U232" s="132"/>
      <c r="Z232" s="132"/>
      <c r="AA232" s="132"/>
      <c r="AB232" s="132"/>
      <c r="AC232" s="132"/>
    </row>
    <row r="233" spans="1:29">
      <c r="A233" s="552"/>
      <c r="B233" s="132"/>
      <c r="G233" s="132"/>
      <c r="I233" s="132"/>
      <c r="P233" s="132"/>
      <c r="Q233" s="132"/>
      <c r="T233" s="132"/>
      <c r="U233" s="132"/>
      <c r="Z233" s="132"/>
      <c r="AA233" s="132"/>
      <c r="AB233" s="132"/>
      <c r="AC233" s="132"/>
    </row>
    <row r="234" spans="1:29">
      <c r="A234" s="552"/>
      <c r="B234" s="132"/>
      <c r="G234" s="132"/>
      <c r="I234" s="132"/>
      <c r="P234" s="132"/>
      <c r="Q234" s="132"/>
      <c r="T234" s="132"/>
      <c r="U234" s="132"/>
      <c r="Z234" s="132"/>
      <c r="AA234" s="132"/>
      <c r="AB234" s="132"/>
      <c r="AC234" s="132"/>
    </row>
    <row r="235" spans="1:29">
      <c r="A235" s="552"/>
      <c r="B235" s="132"/>
      <c r="G235" s="132"/>
      <c r="I235" s="132"/>
      <c r="P235" s="132"/>
      <c r="Q235" s="132"/>
      <c r="T235" s="132"/>
      <c r="U235" s="132"/>
      <c r="Z235" s="132"/>
      <c r="AA235" s="132"/>
      <c r="AB235" s="132"/>
      <c r="AC235" s="132"/>
    </row>
    <row r="236" spans="1:29">
      <c r="A236" s="552"/>
      <c r="B236" s="132"/>
      <c r="G236" s="132"/>
      <c r="I236" s="132"/>
      <c r="P236" s="132"/>
      <c r="Q236" s="132"/>
      <c r="T236" s="132"/>
      <c r="U236" s="132"/>
      <c r="Z236" s="132"/>
      <c r="AA236" s="132"/>
      <c r="AB236" s="132"/>
      <c r="AC236" s="132"/>
    </row>
    <row r="237" spans="1:29">
      <c r="A237" s="552"/>
      <c r="B237" s="132"/>
      <c r="G237" s="132"/>
      <c r="I237" s="132"/>
      <c r="P237" s="132"/>
      <c r="Q237" s="132"/>
      <c r="T237" s="132"/>
      <c r="U237" s="132"/>
      <c r="Z237" s="132"/>
      <c r="AA237" s="132"/>
      <c r="AB237" s="132"/>
      <c r="AC237" s="132"/>
    </row>
    <row r="238" spans="1:29">
      <c r="A238" s="552"/>
      <c r="B238" s="132"/>
      <c r="G238" s="132"/>
      <c r="I238" s="132"/>
      <c r="P238" s="132"/>
      <c r="Q238" s="132"/>
      <c r="T238" s="132"/>
      <c r="U238" s="132"/>
      <c r="Z238" s="132"/>
      <c r="AA238" s="132"/>
      <c r="AB238" s="132"/>
      <c r="AC238" s="132"/>
    </row>
    <row r="239" spans="1:29">
      <c r="A239" s="552"/>
      <c r="B239" s="132"/>
      <c r="G239" s="132"/>
      <c r="I239" s="132"/>
      <c r="P239" s="132"/>
      <c r="Q239" s="132"/>
      <c r="T239" s="132"/>
      <c r="U239" s="132"/>
      <c r="Z239" s="132"/>
      <c r="AA239" s="132"/>
      <c r="AB239" s="132"/>
      <c r="AC239" s="132"/>
    </row>
    <row r="240" spans="1:29">
      <c r="A240" s="552"/>
      <c r="B240" s="132"/>
      <c r="G240" s="132"/>
      <c r="I240" s="132"/>
      <c r="P240" s="132"/>
      <c r="Q240" s="132"/>
      <c r="T240" s="132"/>
      <c r="U240" s="132"/>
      <c r="Z240" s="132"/>
      <c r="AA240" s="132"/>
      <c r="AB240" s="132"/>
      <c r="AC240" s="132"/>
    </row>
    <row r="241" spans="1:29">
      <c r="A241" s="552"/>
      <c r="B241" s="132"/>
      <c r="G241" s="132"/>
      <c r="I241" s="132"/>
      <c r="P241" s="132"/>
      <c r="Q241" s="132"/>
      <c r="T241" s="132"/>
      <c r="U241" s="132"/>
      <c r="Z241" s="132"/>
      <c r="AA241" s="132"/>
      <c r="AB241" s="132"/>
      <c r="AC241" s="132"/>
    </row>
    <row r="242" spans="1:29">
      <c r="A242" s="552"/>
      <c r="B242" s="132"/>
      <c r="G242" s="132"/>
      <c r="I242" s="132"/>
      <c r="P242" s="132"/>
      <c r="Q242" s="132"/>
      <c r="T242" s="132"/>
      <c r="U242" s="132"/>
      <c r="Z242" s="132"/>
      <c r="AA242" s="132"/>
      <c r="AB242" s="132"/>
      <c r="AC242" s="132"/>
    </row>
    <row r="243" spans="1:29">
      <c r="A243" s="552"/>
      <c r="B243" s="132"/>
      <c r="G243" s="132"/>
      <c r="I243" s="132"/>
      <c r="P243" s="132"/>
      <c r="Q243" s="132"/>
      <c r="T243" s="132"/>
      <c r="U243" s="132"/>
      <c r="Z243" s="132"/>
      <c r="AA243" s="132"/>
      <c r="AB243" s="132"/>
      <c r="AC243" s="132"/>
    </row>
    <row r="244" spans="1:29">
      <c r="A244" s="552"/>
      <c r="B244" s="132"/>
      <c r="G244" s="132"/>
      <c r="I244" s="132"/>
      <c r="P244" s="132"/>
      <c r="Q244" s="132"/>
      <c r="T244" s="132"/>
      <c r="U244" s="132"/>
      <c r="Z244" s="132"/>
      <c r="AA244" s="132"/>
      <c r="AB244" s="132"/>
      <c r="AC244" s="132"/>
    </row>
    <row r="245" spans="1:29">
      <c r="A245" s="552"/>
      <c r="B245" s="132"/>
      <c r="G245" s="132"/>
      <c r="I245" s="132"/>
      <c r="P245" s="132"/>
      <c r="Q245" s="132"/>
      <c r="T245" s="132"/>
      <c r="U245" s="132"/>
      <c r="Z245" s="132"/>
      <c r="AA245" s="132"/>
      <c r="AB245" s="132"/>
      <c r="AC245" s="132"/>
    </row>
    <row r="246" spans="1:29">
      <c r="A246" s="552"/>
      <c r="B246" s="132"/>
      <c r="G246" s="132"/>
      <c r="I246" s="132"/>
      <c r="P246" s="132"/>
      <c r="Q246" s="132"/>
      <c r="T246" s="132"/>
      <c r="U246" s="132"/>
      <c r="Z246" s="132"/>
      <c r="AA246" s="132"/>
      <c r="AB246" s="132"/>
      <c r="AC246" s="132"/>
    </row>
    <row r="247" spans="1:29">
      <c r="A247" s="552"/>
      <c r="B247" s="132"/>
      <c r="G247" s="132"/>
      <c r="I247" s="132"/>
      <c r="P247" s="132"/>
      <c r="Q247" s="132"/>
      <c r="T247" s="132"/>
      <c r="U247" s="132"/>
      <c r="Z247" s="132"/>
      <c r="AA247" s="132"/>
      <c r="AB247" s="132"/>
      <c r="AC247" s="132"/>
    </row>
    <row r="248" spans="1:29">
      <c r="A248" s="552"/>
      <c r="B248" s="132"/>
      <c r="G248" s="132"/>
      <c r="I248" s="132"/>
      <c r="P248" s="132"/>
      <c r="Q248" s="132"/>
      <c r="T248" s="132"/>
      <c r="U248" s="132"/>
      <c r="Z248" s="132"/>
      <c r="AA248" s="132"/>
      <c r="AB248" s="132"/>
      <c r="AC248" s="132"/>
    </row>
    <row r="249" spans="1:29">
      <c r="A249" s="552"/>
      <c r="B249" s="132"/>
      <c r="G249" s="132"/>
      <c r="I249" s="132"/>
      <c r="P249" s="132"/>
      <c r="Q249" s="132"/>
      <c r="T249" s="132"/>
      <c r="U249" s="132"/>
      <c r="Z249" s="132"/>
      <c r="AA249" s="132"/>
      <c r="AB249" s="132"/>
      <c r="AC249" s="132"/>
    </row>
    <row r="250" spans="1:29">
      <c r="A250" s="552"/>
      <c r="B250" s="132"/>
      <c r="G250" s="132"/>
      <c r="I250" s="132"/>
      <c r="P250" s="132"/>
      <c r="Q250" s="132"/>
      <c r="T250" s="132"/>
      <c r="U250" s="132"/>
      <c r="Z250" s="132"/>
      <c r="AA250" s="132"/>
      <c r="AB250" s="132"/>
      <c r="AC250" s="132"/>
    </row>
    <row r="251" spans="1:29">
      <c r="A251" s="552"/>
      <c r="B251" s="132"/>
      <c r="G251" s="132"/>
      <c r="I251" s="132"/>
      <c r="P251" s="132"/>
      <c r="Q251" s="132"/>
      <c r="T251" s="132"/>
      <c r="U251" s="132"/>
      <c r="Z251" s="132"/>
      <c r="AA251" s="132"/>
      <c r="AB251" s="132"/>
      <c r="AC251" s="132"/>
    </row>
    <row r="252" spans="1:29">
      <c r="A252" s="552"/>
      <c r="B252" s="132"/>
      <c r="G252" s="132"/>
      <c r="I252" s="132"/>
      <c r="P252" s="132"/>
      <c r="Q252" s="132"/>
      <c r="T252" s="132"/>
      <c r="U252" s="132"/>
      <c r="Z252" s="132"/>
      <c r="AA252" s="132"/>
      <c r="AB252" s="132"/>
      <c r="AC252" s="132"/>
    </row>
    <row r="253" spans="1:29">
      <c r="A253" s="552"/>
      <c r="B253" s="132"/>
      <c r="G253" s="132"/>
      <c r="I253" s="132"/>
      <c r="P253" s="132"/>
      <c r="Q253" s="132"/>
      <c r="T253" s="132"/>
      <c r="U253" s="132"/>
      <c r="Z253" s="132"/>
      <c r="AA253" s="132"/>
      <c r="AB253" s="132"/>
      <c r="AC253" s="132"/>
    </row>
    <row r="254" spans="1:29">
      <c r="A254" s="552"/>
      <c r="B254" s="132"/>
      <c r="G254" s="132"/>
      <c r="I254" s="132"/>
      <c r="P254" s="132"/>
      <c r="Q254" s="132"/>
      <c r="T254" s="132"/>
      <c r="U254" s="132"/>
      <c r="Z254" s="132"/>
      <c r="AA254" s="132"/>
      <c r="AB254" s="132"/>
      <c r="AC254" s="132"/>
    </row>
    <row r="255" spans="1:29">
      <c r="A255" s="552"/>
      <c r="B255" s="132"/>
      <c r="G255" s="132"/>
      <c r="I255" s="132"/>
      <c r="P255" s="132"/>
      <c r="Q255" s="132"/>
      <c r="T255" s="132"/>
      <c r="U255" s="132"/>
      <c r="Z255" s="132"/>
      <c r="AA255" s="132"/>
      <c r="AB255" s="132"/>
      <c r="AC255" s="132"/>
    </row>
    <row r="256" spans="1:29">
      <c r="A256" s="552"/>
      <c r="B256" s="132"/>
      <c r="G256" s="132"/>
      <c r="I256" s="132"/>
      <c r="P256" s="132"/>
      <c r="Q256" s="132"/>
      <c r="T256" s="132"/>
      <c r="U256" s="132"/>
      <c r="Z256" s="132"/>
      <c r="AA256" s="132"/>
      <c r="AB256" s="132"/>
      <c r="AC256" s="132"/>
    </row>
    <row r="257" spans="1:29">
      <c r="A257" s="552"/>
      <c r="B257" s="132"/>
      <c r="G257" s="132"/>
      <c r="I257" s="132"/>
      <c r="P257" s="132"/>
      <c r="Q257" s="132"/>
      <c r="T257" s="132"/>
      <c r="U257" s="132"/>
      <c r="Z257" s="132"/>
      <c r="AA257" s="132"/>
      <c r="AB257" s="132"/>
      <c r="AC257" s="132"/>
    </row>
    <row r="258" spans="1:29">
      <c r="A258" s="552"/>
      <c r="B258" s="132"/>
      <c r="G258" s="132"/>
      <c r="I258" s="132"/>
      <c r="P258" s="132"/>
      <c r="Q258" s="132"/>
      <c r="T258" s="132"/>
      <c r="U258" s="132"/>
      <c r="Z258" s="132"/>
      <c r="AA258" s="132"/>
      <c r="AB258" s="132"/>
      <c r="AC258" s="132"/>
    </row>
    <row r="259" spans="1:29">
      <c r="A259" s="552"/>
      <c r="B259" s="132"/>
      <c r="G259" s="132"/>
      <c r="I259" s="132"/>
      <c r="P259" s="132"/>
      <c r="Q259" s="132"/>
      <c r="T259" s="132"/>
      <c r="U259" s="132"/>
      <c r="Z259" s="132"/>
      <c r="AA259" s="132"/>
      <c r="AB259" s="132"/>
      <c r="AC259" s="132"/>
    </row>
    <row r="260" spans="1:29">
      <c r="A260" s="552"/>
      <c r="B260" s="132"/>
      <c r="G260" s="132"/>
      <c r="I260" s="132"/>
      <c r="P260" s="132"/>
      <c r="Q260" s="132"/>
      <c r="T260" s="132"/>
      <c r="U260" s="132"/>
      <c r="Z260" s="132"/>
      <c r="AA260" s="132"/>
      <c r="AB260" s="132"/>
      <c r="AC260" s="132"/>
    </row>
    <row r="261" spans="1:29">
      <c r="A261" s="552"/>
      <c r="B261" s="132"/>
      <c r="G261" s="132"/>
      <c r="I261" s="132"/>
      <c r="P261" s="132"/>
      <c r="Q261" s="132"/>
      <c r="T261" s="132"/>
      <c r="U261" s="132"/>
      <c r="Z261" s="132"/>
      <c r="AA261" s="132"/>
      <c r="AB261" s="132"/>
      <c r="AC261" s="132"/>
    </row>
    <row r="262" spans="1:29">
      <c r="A262" s="552"/>
      <c r="B262" s="132"/>
      <c r="G262" s="132"/>
      <c r="I262" s="132"/>
      <c r="P262" s="132"/>
      <c r="Q262" s="132"/>
      <c r="T262" s="132"/>
      <c r="U262" s="132"/>
      <c r="Z262" s="132"/>
      <c r="AA262" s="132"/>
      <c r="AB262" s="132"/>
      <c r="AC262" s="132"/>
    </row>
    <row r="263" spans="1:29">
      <c r="A263" s="552"/>
      <c r="B263" s="132"/>
      <c r="G263" s="132"/>
      <c r="I263" s="132"/>
      <c r="P263" s="132"/>
      <c r="Q263" s="132"/>
      <c r="T263" s="132"/>
      <c r="U263" s="132"/>
      <c r="Z263" s="132"/>
      <c r="AA263" s="132"/>
      <c r="AB263" s="132"/>
      <c r="AC263" s="132"/>
    </row>
    <row r="264" spans="1:29">
      <c r="A264" s="552"/>
      <c r="B264" s="132"/>
      <c r="G264" s="132"/>
      <c r="I264" s="132"/>
      <c r="P264" s="132"/>
      <c r="Q264" s="132"/>
      <c r="T264" s="132"/>
      <c r="U264" s="132"/>
      <c r="Z264" s="132"/>
      <c r="AA264" s="132"/>
      <c r="AB264" s="132"/>
      <c r="AC264" s="132"/>
    </row>
    <row r="265" spans="1:29">
      <c r="A265" s="552"/>
      <c r="B265" s="132"/>
      <c r="G265" s="132"/>
      <c r="I265" s="132"/>
      <c r="P265" s="132"/>
      <c r="Q265" s="132"/>
      <c r="T265" s="132"/>
      <c r="U265" s="132"/>
      <c r="Z265" s="132"/>
      <c r="AA265" s="132"/>
      <c r="AB265" s="132"/>
      <c r="AC265" s="132"/>
    </row>
    <row r="266" spans="1:29">
      <c r="A266" s="552"/>
      <c r="B266" s="132"/>
      <c r="G266" s="132"/>
      <c r="I266" s="132"/>
      <c r="P266" s="132"/>
      <c r="Q266" s="132"/>
      <c r="T266" s="132"/>
      <c r="U266" s="132"/>
      <c r="Z266" s="132"/>
      <c r="AA266" s="132"/>
      <c r="AB266" s="132"/>
      <c r="AC266" s="132"/>
    </row>
    <row r="267" spans="1:29">
      <c r="A267" s="552"/>
      <c r="B267" s="132"/>
      <c r="G267" s="132"/>
      <c r="I267" s="132"/>
      <c r="P267" s="132"/>
      <c r="Q267" s="132"/>
      <c r="T267" s="132"/>
      <c r="U267" s="132"/>
      <c r="Z267" s="132"/>
      <c r="AA267" s="132"/>
      <c r="AB267" s="132"/>
      <c r="AC267" s="132"/>
    </row>
    <row r="268" spans="1:29">
      <c r="A268" s="552"/>
      <c r="B268" s="132"/>
      <c r="G268" s="132"/>
      <c r="I268" s="132"/>
      <c r="P268" s="132"/>
      <c r="Q268" s="132"/>
      <c r="T268" s="132"/>
      <c r="U268" s="132"/>
      <c r="Z268" s="132"/>
      <c r="AA268" s="132"/>
      <c r="AB268" s="132"/>
      <c r="AC268" s="132"/>
    </row>
    <row r="269" spans="1:29">
      <c r="A269" s="552"/>
      <c r="B269" s="132"/>
      <c r="G269" s="132"/>
      <c r="I269" s="132"/>
      <c r="P269" s="132"/>
      <c r="Q269" s="132"/>
      <c r="T269" s="132"/>
      <c r="U269" s="132"/>
      <c r="Z269" s="132"/>
      <c r="AA269" s="132"/>
      <c r="AB269" s="132"/>
      <c r="AC269" s="132"/>
    </row>
    <row r="270" spans="1:29">
      <c r="A270" s="552"/>
      <c r="B270" s="132"/>
      <c r="G270" s="132"/>
      <c r="I270" s="132"/>
      <c r="P270" s="132"/>
      <c r="Q270" s="132"/>
      <c r="T270" s="132"/>
      <c r="U270" s="132"/>
      <c r="Z270" s="132"/>
      <c r="AA270" s="132"/>
      <c r="AB270" s="132"/>
      <c r="AC270" s="132"/>
    </row>
    <row r="271" spans="1:29">
      <c r="A271" s="552"/>
      <c r="B271" s="132"/>
      <c r="G271" s="132"/>
      <c r="I271" s="132"/>
      <c r="P271" s="132"/>
      <c r="Q271" s="132"/>
      <c r="T271" s="132"/>
      <c r="U271" s="132"/>
      <c r="Z271" s="132"/>
      <c r="AA271" s="132"/>
      <c r="AB271" s="132"/>
      <c r="AC271" s="132"/>
    </row>
    <row r="272" spans="1:29">
      <c r="A272" s="552"/>
      <c r="B272" s="132"/>
      <c r="G272" s="132"/>
      <c r="I272" s="132"/>
      <c r="P272" s="132"/>
      <c r="Q272" s="132"/>
      <c r="T272" s="132"/>
      <c r="U272" s="132"/>
      <c r="Z272" s="132"/>
      <c r="AA272" s="132"/>
      <c r="AB272" s="132"/>
      <c r="AC272" s="132"/>
    </row>
    <row r="273" spans="1:29">
      <c r="A273" s="552"/>
      <c r="B273" s="132"/>
      <c r="G273" s="132"/>
      <c r="I273" s="132"/>
      <c r="P273" s="132"/>
      <c r="Q273" s="132"/>
      <c r="T273" s="132"/>
      <c r="U273" s="132"/>
      <c r="Z273" s="132"/>
      <c r="AA273" s="132"/>
      <c r="AB273" s="132"/>
      <c r="AC273" s="132"/>
    </row>
    <row r="274" spans="1:29">
      <c r="A274" s="552"/>
      <c r="B274" s="132"/>
      <c r="G274" s="132"/>
      <c r="I274" s="132"/>
      <c r="P274" s="132"/>
      <c r="Q274" s="132"/>
      <c r="T274" s="132"/>
      <c r="U274" s="132"/>
      <c r="Z274" s="132"/>
      <c r="AA274" s="132"/>
      <c r="AB274" s="132"/>
      <c r="AC274" s="132"/>
    </row>
    <row r="275" spans="1:29">
      <c r="A275" s="552"/>
      <c r="B275" s="132"/>
      <c r="G275" s="132"/>
      <c r="I275" s="132"/>
      <c r="P275" s="132"/>
      <c r="Q275" s="132"/>
      <c r="T275" s="132"/>
      <c r="U275" s="132"/>
      <c r="Z275" s="132"/>
      <c r="AA275" s="132"/>
      <c r="AB275" s="132"/>
      <c r="AC275" s="132"/>
    </row>
    <row r="276" spans="1:29">
      <c r="A276" s="552"/>
      <c r="B276" s="132"/>
      <c r="G276" s="132"/>
      <c r="I276" s="132"/>
      <c r="P276" s="132"/>
      <c r="Q276" s="132"/>
      <c r="T276" s="132"/>
      <c r="U276" s="132"/>
      <c r="Z276" s="132"/>
      <c r="AA276" s="132"/>
      <c r="AB276" s="132"/>
      <c r="AC276" s="132"/>
    </row>
    <row r="277" spans="1:29">
      <c r="A277" s="552"/>
      <c r="B277" s="132"/>
      <c r="G277" s="132"/>
      <c r="I277" s="132"/>
      <c r="P277" s="132"/>
      <c r="Q277" s="132"/>
      <c r="T277" s="132"/>
      <c r="U277" s="132"/>
      <c r="Z277" s="132"/>
      <c r="AA277" s="132"/>
      <c r="AB277" s="132"/>
      <c r="AC277" s="132"/>
    </row>
    <row r="278" spans="1:29">
      <c r="A278" s="552"/>
      <c r="B278" s="132"/>
      <c r="G278" s="132"/>
      <c r="I278" s="132"/>
      <c r="P278" s="132"/>
      <c r="Q278" s="132"/>
      <c r="T278" s="132"/>
      <c r="U278" s="132"/>
      <c r="Z278" s="132"/>
      <c r="AA278" s="132"/>
      <c r="AB278" s="132"/>
      <c r="AC278" s="132"/>
    </row>
    <row r="279" spans="1:29">
      <c r="A279" s="552"/>
      <c r="B279" s="132"/>
      <c r="G279" s="132"/>
      <c r="I279" s="132"/>
      <c r="P279" s="132"/>
      <c r="Q279" s="132"/>
      <c r="T279" s="132"/>
      <c r="U279" s="132"/>
      <c r="Z279" s="132"/>
      <c r="AA279" s="132"/>
      <c r="AB279" s="132"/>
      <c r="AC279" s="132"/>
    </row>
    <row r="280" spans="1:29">
      <c r="A280" s="552"/>
      <c r="B280" s="132"/>
      <c r="G280" s="132"/>
      <c r="I280" s="132"/>
      <c r="P280" s="132"/>
      <c r="Q280" s="132"/>
      <c r="T280" s="132"/>
      <c r="U280" s="132"/>
      <c r="Z280" s="132"/>
      <c r="AA280" s="132"/>
      <c r="AB280" s="132"/>
      <c r="AC280" s="132"/>
    </row>
    <row r="281" spans="1:29">
      <c r="A281" s="552"/>
      <c r="B281" s="132"/>
      <c r="G281" s="132"/>
      <c r="I281" s="132"/>
      <c r="P281" s="132"/>
      <c r="Q281" s="132"/>
      <c r="T281" s="132"/>
      <c r="U281" s="132"/>
      <c r="Z281" s="132"/>
      <c r="AA281" s="132"/>
      <c r="AB281" s="132"/>
      <c r="AC281" s="132"/>
    </row>
    <row r="282" spans="1:29">
      <c r="A282" s="552"/>
      <c r="B282" s="132"/>
      <c r="G282" s="132"/>
      <c r="I282" s="132"/>
      <c r="P282" s="132"/>
      <c r="Q282" s="132"/>
      <c r="T282" s="132"/>
      <c r="U282" s="132"/>
      <c r="Z282" s="132"/>
      <c r="AA282" s="132"/>
      <c r="AB282" s="132"/>
      <c r="AC282" s="132"/>
    </row>
    <row r="283" spans="1:29">
      <c r="A283" s="552"/>
      <c r="B283" s="132"/>
      <c r="G283" s="132"/>
      <c r="I283" s="132"/>
      <c r="P283" s="132"/>
      <c r="Q283" s="132"/>
      <c r="T283" s="132"/>
      <c r="U283" s="132"/>
      <c r="Z283" s="132"/>
      <c r="AA283" s="132"/>
      <c r="AB283" s="132"/>
      <c r="AC283" s="132"/>
    </row>
    <row r="284" spans="1:29">
      <c r="A284" s="552"/>
      <c r="B284" s="132"/>
      <c r="G284" s="132"/>
      <c r="I284" s="132"/>
      <c r="P284" s="132"/>
      <c r="Q284" s="132"/>
      <c r="T284" s="132"/>
      <c r="U284" s="132"/>
      <c r="Z284" s="132"/>
      <c r="AA284" s="132"/>
      <c r="AB284" s="132"/>
      <c r="AC284" s="132"/>
    </row>
    <row r="285" spans="1:29">
      <c r="A285" s="552"/>
      <c r="B285" s="132"/>
      <c r="G285" s="132"/>
      <c r="I285" s="132"/>
      <c r="P285" s="132"/>
      <c r="Q285" s="132"/>
      <c r="T285" s="132"/>
      <c r="U285" s="132"/>
      <c r="Z285" s="132"/>
      <c r="AA285" s="132"/>
      <c r="AB285" s="132"/>
      <c r="AC285" s="132"/>
    </row>
    <row r="286" spans="1:29">
      <c r="A286" s="552"/>
      <c r="B286" s="132"/>
      <c r="G286" s="132"/>
      <c r="I286" s="132"/>
      <c r="P286" s="132"/>
      <c r="Q286" s="132"/>
      <c r="T286" s="132"/>
      <c r="U286" s="132"/>
      <c r="Z286" s="132"/>
      <c r="AA286" s="132"/>
      <c r="AB286" s="132"/>
      <c r="AC286" s="132"/>
    </row>
    <row r="287" spans="1:29">
      <c r="A287" s="552"/>
      <c r="B287" s="132"/>
      <c r="G287" s="132"/>
      <c r="I287" s="132"/>
      <c r="P287" s="132"/>
      <c r="Q287" s="132"/>
      <c r="T287" s="132"/>
      <c r="U287" s="132"/>
      <c r="Z287" s="132"/>
      <c r="AA287" s="132"/>
      <c r="AB287" s="132"/>
      <c r="AC287" s="132"/>
    </row>
    <row r="288" spans="1:29">
      <c r="A288" s="552"/>
      <c r="B288" s="132"/>
      <c r="G288" s="132"/>
      <c r="I288" s="132"/>
      <c r="P288" s="132"/>
      <c r="Q288" s="132"/>
      <c r="T288" s="132"/>
      <c r="U288" s="132"/>
      <c r="Z288" s="132"/>
      <c r="AA288" s="132"/>
      <c r="AB288" s="132"/>
      <c r="AC288" s="132"/>
    </row>
    <row r="289" spans="1:29">
      <c r="A289" s="552"/>
      <c r="B289" s="132"/>
      <c r="G289" s="132"/>
      <c r="I289" s="132"/>
      <c r="P289" s="132"/>
      <c r="Q289" s="132"/>
      <c r="T289" s="132"/>
      <c r="U289" s="132"/>
      <c r="Z289" s="132"/>
      <c r="AA289" s="132"/>
      <c r="AB289" s="132"/>
      <c r="AC289" s="132"/>
    </row>
    <row r="290" spans="1:29">
      <c r="A290" s="552"/>
      <c r="B290" s="132"/>
      <c r="G290" s="132"/>
      <c r="I290" s="132"/>
      <c r="P290" s="132"/>
      <c r="Q290" s="132"/>
      <c r="T290" s="132"/>
      <c r="U290" s="132"/>
      <c r="Z290" s="132"/>
      <c r="AA290" s="132"/>
      <c r="AB290" s="132"/>
      <c r="AC290" s="132"/>
    </row>
    <row r="291" spans="1:29">
      <c r="A291" s="552"/>
      <c r="B291" s="132"/>
      <c r="G291" s="132"/>
      <c r="I291" s="132"/>
      <c r="P291" s="132"/>
      <c r="Q291" s="132"/>
      <c r="T291" s="132"/>
      <c r="U291" s="132"/>
      <c r="Z291" s="132"/>
      <c r="AA291" s="132"/>
      <c r="AB291" s="132"/>
      <c r="AC291" s="132"/>
    </row>
    <row r="292" spans="1:29">
      <c r="A292" s="552"/>
      <c r="B292" s="132"/>
      <c r="G292" s="132"/>
      <c r="I292" s="132"/>
      <c r="P292" s="132"/>
      <c r="Q292" s="132"/>
      <c r="T292" s="132"/>
      <c r="U292" s="132"/>
      <c r="Z292" s="132"/>
      <c r="AA292" s="132"/>
      <c r="AB292" s="132"/>
      <c r="AC292" s="132"/>
    </row>
    <row r="293" spans="1:29">
      <c r="A293" s="552"/>
      <c r="B293" s="132"/>
      <c r="G293" s="132"/>
      <c r="I293" s="132"/>
      <c r="P293" s="132"/>
      <c r="Q293" s="132"/>
      <c r="T293" s="132"/>
      <c r="U293" s="132"/>
      <c r="Z293" s="132"/>
      <c r="AA293" s="132"/>
      <c r="AB293" s="132"/>
      <c r="AC293" s="132"/>
    </row>
    <row r="294" spans="1:29">
      <c r="A294" s="552"/>
      <c r="B294" s="132"/>
      <c r="G294" s="132"/>
      <c r="I294" s="132"/>
      <c r="P294" s="132"/>
      <c r="Q294" s="132"/>
      <c r="T294" s="132"/>
      <c r="U294" s="132"/>
      <c r="Z294" s="132"/>
      <c r="AA294" s="132"/>
      <c r="AB294" s="132"/>
      <c r="AC294" s="132"/>
    </row>
    <row r="295" spans="1:29">
      <c r="A295" s="552"/>
      <c r="B295" s="132"/>
      <c r="G295" s="132"/>
      <c r="I295" s="132"/>
      <c r="P295" s="132"/>
      <c r="Q295" s="132"/>
      <c r="T295" s="132"/>
      <c r="U295" s="132"/>
      <c r="Z295" s="132"/>
      <c r="AA295" s="132"/>
      <c r="AB295" s="132"/>
      <c r="AC295" s="132"/>
    </row>
    <row r="296" spans="1:29">
      <c r="A296" s="552"/>
      <c r="B296" s="132"/>
      <c r="G296" s="132"/>
      <c r="I296" s="132"/>
      <c r="P296" s="132"/>
      <c r="Q296" s="132"/>
      <c r="T296" s="132"/>
      <c r="U296" s="132"/>
      <c r="Z296" s="132"/>
      <c r="AA296" s="132"/>
      <c r="AB296" s="132"/>
      <c r="AC296" s="132"/>
    </row>
    <row r="297" spans="1:29">
      <c r="A297" s="552"/>
      <c r="B297" s="132"/>
      <c r="G297" s="132"/>
      <c r="I297" s="132"/>
      <c r="P297" s="132"/>
      <c r="Q297" s="132"/>
      <c r="T297" s="132"/>
      <c r="U297" s="132"/>
      <c r="Z297" s="132"/>
      <c r="AA297" s="132"/>
      <c r="AB297" s="132"/>
      <c r="AC297" s="132"/>
    </row>
    <row r="298" spans="1:29">
      <c r="A298" s="552"/>
      <c r="B298" s="132"/>
      <c r="G298" s="132"/>
      <c r="I298" s="132"/>
      <c r="P298" s="132"/>
      <c r="Q298" s="132"/>
      <c r="T298" s="132"/>
      <c r="U298" s="132"/>
      <c r="Z298" s="132"/>
      <c r="AA298" s="132"/>
      <c r="AB298" s="132"/>
      <c r="AC298" s="132"/>
    </row>
    <row r="299" spans="1:29">
      <c r="A299" s="552"/>
      <c r="B299" s="132"/>
      <c r="G299" s="132"/>
      <c r="I299" s="132"/>
      <c r="P299" s="132"/>
      <c r="Q299" s="132"/>
      <c r="T299" s="132"/>
      <c r="U299" s="132"/>
      <c r="Z299" s="132"/>
      <c r="AA299" s="132"/>
      <c r="AB299" s="132"/>
      <c r="AC299" s="132"/>
    </row>
    <row r="300" spans="1:29">
      <c r="A300" s="552"/>
      <c r="B300" s="132"/>
      <c r="G300" s="132"/>
      <c r="I300" s="132"/>
      <c r="P300" s="132"/>
      <c r="Q300" s="132"/>
      <c r="T300" s="132"/>
      <c r="U300" s="132"/>
      <c r="Z300" s="132"/>
      <c r="AA300" s="132"/>
      <c r="AB300" s="132"/>
      <c r="AC300" s="132"/>
    </row>
    <row r="301" spans="1:29">
      <c r="A301" s="552"/>
      <c r="B301" s="132"/>
      <c r="G301" s="132"/>
      <c r="I301" s="132"/>
      <c r="P301" s="132"/>
      <c r="Q301" s="132"/>
      <c r="T301" s="132"/>
      <c r="U301" s="132"/>
      <c r="Z301" s="132"/>
      <c r="AA301" s="132"/>
      <c r="AB301" s="132"/>
      <c r="AC301" s="132"/>
    </row>
    <row r="302" spans="1:29">
      <c r="A302" s="552"/>
      <c r="B302" s="132"/>
      <c r="G302" s="132"/>
      <c r="I302" s="132"/>
      <c r="P302" s="132"/>
      <c r="Q302" s="132"/>
      <c r="T302" s="132"/>
      <c r="U302" s="132"/>
      <c r="Z302" s="132"/>
      <c r="AA302" s="132"/>
      <c r="AB302" s="132"/>
      <c r="AC302" s="132"/>
    </row>
    <row r="303" spans="1:29">
      <c r="A303" s="552"/>
      <c r="B303" s="132"/>
      <c r="G303" s="132"/>
      <c r="I303" s="132"/>
      <c r="P303" s="132"/>
      <c r="Q303" s="132"/>
      <c r="T303" s="132"/>
      <c r="U303" s="132"/>
      <c r="Z303" s="132"/>
      <c r="AA303" s="132"/>
      <c r="AB303" s="132"/>
      <c r="AC303" s="132"/>
    </row>
    <row r="304" spans="1:29">
      <c r="A304" s="552"/>
      <c r="B304" s="132"/>
      <c r="G304" s="132"/>
      <c r="I304" s="132"/>
      <c r="P304" s="132"/>
      <c r="Q304" s="132"/>
      <c r="T304" s="132"/>
      <c r="U304" s="132"/>
      <c r="Z304" s="132"/>
      <c r="AA304" s="132"/>
      <c r="AB304" s="132"/>
      <c r="AC304" s="132"/>
    </row>
    <row r="305" spans="1:29">
      <c r="A305" s="552"/>
      <c r="B305" s="132"/>
      <c r="G305" s="132"/>
      <c r="I305" s="132"/>
      <c r="P305" s="132"/>
      <c r="Q305" s="132"/>
      <c r="T305" s="132"/>
      <c r="U305" s="132"/>
      <c r="Z305" s="132"/>
      <c r="AA305" s="132"/>
      <c r="AB305" s="132"/>
      <c r="AC305" s="132"/>
    </row>
    <row r="306" spans="1:29">
      <c r="A306" s="552"/>
      <c r="B306" s="132"/>
      <c r="G306" s="132"/>
      <c r="I306" s="132"/>
      <c r="P306" s="132"/>
      <c r="Q306" s="132"/>
      <c r="T306" s="132"/>
      <c r="U306" s="132"/>
      <c r="Z306" s="132"/>
      <c r="AA306" s="132"/>
      <c r="AB306" s="132"/>
      <c r="AC306" s="132"/>
    </row>
    <row r="307" spans="1:29">
      <c r="A307" s="552"/>
      <c r="B307" s="132"/>
      <c r="G307" s="132"/>
      <c r="I307" s="132"/>
      <c r="P307" s="132"/>
      <c r="Q307" s="132"/>
      <c r="T307" s="132"/>
      <c r="U307" s="132"/>
      <c r="Z307" s="132"/>
      <c r="AA307" s="132"/>
      <c r="AB307" s="132"/>
      <c r="AC307" s="132"/>
    </row>
    <row r="308" spans="1:29">
      <c r="A308" s="552"/>
      <c r="B308" s="132"/>
      <c r="G308" s="132"/>
      <c r="I308" s="132"/>
      <c r="P308" s="132"/>
      <c r="Q308" s="132"/>
      <c r="T308" s="132"/>
      <c r="U308" s="132"/>
      <c r="Z308" s="132"/>
      <c r="AA308" s="132"/>
      <c r="AB308" s="132"/>
      <c r="AC308" s="132"/>
    </row>
    <row r="309" spans="1:29">
      <c r="A309" s="552"/>
      <c r="B309" s="132"/>
      <c r="G309" s="132"/>
      <c r="I309" s="132"/>
      <c r="P309" s="132"/>
      <c r="Q309" s="132"/>
      <c r="T309" s="132"/>
      <c r="U309" s="132"/>
      <c r="Z309" s="132"/>
      <c r="AA309" s="132"/>
      <c r="AB309" s="132"/>
      <c r="AC309" s="132"/>
    </row>
    <row r="310" spans="1:29">
      <c r="A310" s="552"/>
      <c r="B310" s="132"/>
      <c r="G310" s="132"/>
      <c r="I310" s="132"/>
      <c r="P310" s="132"/>
      <c r="Q310" s="132"/>
      <c r="T310" s="132"/>
      <c r="U310" s="132"/>
      <c r="Z310" s="132"/>
      <c r="AA310" s="132"/>
      <c r="AB310" s="132"/>
      <c r="AC310" s="132"/>
    </row>
    <row r="311" spans="1:29">
      <c r="A311" s="552"/>
      <c r="B311" s="132"/>
      <c r="G311" s="132"/>
      <c r="I311" s="132"/>
      <c r="P311" s="132"/>
      <c r="Q311" s="132"/>
      <c r="T311" s="132"/>
      <c r="U311" s="132"/>
      <c r="Z311" s="132"/>
      <c r="AA311" s="132"/>
      <c r="AB311" s="132"/>
      <c r="AC311" s="132"/>
    </row>
    <row r="312" spans="1:29">
      <c r="A312" s="552"/>
      <c r="B312" s="132"/>
      <c r="G312" s="132"/>
      <c r="I312" s="132"/>
      <c r="P312" s="132"/>
      <c r="Q312" s="132"/>
      <c r="T312" s="132"/>
      <c r="U312" s="132"/>
      <c r="Z312" s="132"/>
      <c r="AA312" s="132"/>
      <c r="AB312" s="132"/>
      <c r="AC312" s="132"/>
    </row>
    <row r="313" spans="1:29">
      <c r="A313" s="552"/>
      <c r="B313" s="132"/>
      <c r="G313" s="132"/>
      <c r="I313" s="132"/>
      <c r="P313" s="132"/>
      <c r="Q313" s="132"/>
      <c r="T313" s="132"/>
      <c r="U313" s="132"/>
      <c r="Z313" s="132"/>
      <c r="AA313" s="132"/>
      <c r="AB313" s="132"/>
      <c r="AC313" s="132"/>
    </row>
    <row r="314" spans="1:29">
      <c r="A314" s="552"/>
      <c r="B314" s="132"/>
      <c r="G314" s="132"/>
      <c r="I314" s="132"/>
      <c r="P314" s="132"/>
      <c r="Q314" s="132"/>
      <c r="T314" s="132"/>
      <c r="U314" s="132"/>
      <c r="Z314" s="132"/>
      <c r="AA314" s="132"/>
      <c r="AB314" s="132"/>
      <c r="AC314" s="132"/>
    </row>
    <row r="315" spans="1:29">
      <c r="A315" s="552"/>
      <c r="B315" s="132"/>
      <c r="G315" s="132"/>
      <c r="I315" s="132"/>
      <c r="P315" s="132"/>
      <c r="Q315" s="132"/>
      <c r="T315" s="132"/>
      <c r="U315" s="132"/>
      <c r="Z315" s="132"/>
      <c r="AA315" s="132"/>
      <c r="AB315" s="132"/>
      <c r="AC315" s="132"/>
    </row>
    <row r="316" spans="1:29">
      <c r="A316" s="552"/>
      <c r="B316" s="132"/>
      <c r="G316" s="132"/>
      <c r="I316" s="132"/>
      <c r="P316" s="132"/>
      <c r="Q316" s="132"/>
      <c r="T316" s="132"/>
      <c r="U316" s="132"/>
      <c r="Z316" s="132"/>
      <c r="AA316" s="132"/>
      <c r="AB316" s="132"/>
      <c r="AC316" s="132"/>
    </row>
    <row r="317" spans="1:29">
      <c r="A317" s="552"/>
      <c r="B317" s="132"/>
      <c r="G317" s="132"/>
      <c r="I317" s="132"/>
      <c r="P317" s="132"/>
      <c r="Q317" s="132"/>
      <c r="T317" s="132"/>
      <c r="U317" s="132"/>
      <c r="Z317" s="132"/>
      <c r="AA317" s="132"/>
      <c r="AB317" s="132"/>
      <c r="AC317" s="132"/>
    </row>
    <row r="318" spans="1:29">
      <c r="A318" s="552"/>
      <c r="B318" s="132"/>
      <c r="G318" s="132"/>
      <c r="I318" s="132"/>
      <c r="P318" s="132"/>
      <c r="Q318" s="132"/>
      <c r="T318" s="132"/>
      <c r="U318" s="132"/>
      <c r="Z318" s="132"/>
      <c r="AA318" s="132"/>
      <c r="AB318" s="132"/>
      <c r="AC318" s="132"/>
    </row>
    <row r="319" spans="1:29">
      <c r="A319" s="552"/>
      <c r="B319" s="132"/>
      <c r="G319" s="132"/>
      <c r="I319" s="132"/>
      <c r="P319" s="132"/>
      <c r="Q319" s="132"/>
      <c r="T319" s="132"/>
      <c r="U319" s="132"/>
      <c r="Z319" s="132"/>
      <c r="AA319" s="132"/>
      <c r="AB319" s="132"/>
      <c r="AC319" s="132"/>
    </row>
    <row r="320" spans="1:29">
      <c r="A320" s="552"/>
      <c r="B320" s="132"/>
      <c r="G320" s="132"/>
      <c r="I320" s="132"/>
      <c r="P320" s="132"/>
      <c r="Q320" s="132"/>
      <c r="T320" s="132"/>
      <c r="U320" s="132"/>
      <c r="Z320" s="132"/>
      <c r="AA320" s="132"/>
      <c r="AB320" s="132"/>
      <c r="AC320" s="132"/>
    </row>
    <row r="321" spans="1:29">
      <c r="A321" s="552"/>
      <c r="B321" s="132"/>
      <c r="G321" s="132"/>
      <c r="I321" s="132"/>
      <c r="P321" s="132"/>
      <c r="Q321" s="132"/>
      <c r="T321" s="132"/>
      <c r="U321" s="132"/>
      <c r="Z321" s="132"/>
      <c r="AA321" s="132"/>
      <c r="AB321" s="132"/>
      <c r="AC321" s="132"/>
    </row>
    <row r="322" spans="1:29">
      <c r="A322" s="552"/>
      <c r="B322" s="132"/>
      <c r="G322" s="132"/>
      <c r="I322" s="132"/>
      <c r="P322" s="132"/>
      <c r="Q322" s="132"/>
      <c r="T322" s="132"/>
      <c r="U322" s="132"/>
      <c r="Z322" s="132"/>
      <c r="AA322" s="132"/>
      <c r="AB322" s="132"/>
      <c r="AC322" s="132"/>
    </row>
    <row r="323" spans="1:29">
      <c r="A323" s="552"/>
      <c r="B323" s="132"/>
      <c r="G323" s="132"/>
      <c r="I323" s="132"/>
      <c r="P323" s="132"/>
      <c r="Q323" s="132"/>
      <c r="T323" s="132"/>
      <c r="U323" s="132"/>
      <c r="Z323" s="132"/>
      <c r="AA323" s="132"/>
      <c r="AB323" s="132"/>
      <c r="AC323" s="132"/>
    </row>
    <row r="324" spans="1:29">
      <c r="A324" s="552"/>
      <c r="B324" s="132"/>
      <c r="G324" s="132"/>
      <c r="I324" s="132"/>
      <c r="P324" s="132"/>
      <c r="Q324" s="132"/>
      <c r="T324" s="132"/>
      <c r="U324" s="132"/>
      <c r="Z324" s="132"/>
      <c r="AA324" s="132"/>
      <c r="AB324" s="132"/>
      <c r="AC324" s="132"/>
    </row>
    <row r="325" spans="1:29">
      <c r="A325" s="552"/>
      <c r="B325" s="132"/>
      <c r="G325" s="132"/>
      <c r="I325" s="132"/>
      <c r="P325" s="132"/>
      <c r="Q325" s="132"/>
      <c r="T325" s="132"/>
      <c r="U325" s="132"/>
      <c r="Z325" s="132"/>
      <c r="AA325" s="132"/>
      <c r="AB325" s="132"/>
      <c r="AC325" s="132"/>
    </row>
    <row r="326" spans="1:29">
      <c r="A326" s="552"/>
      <c r="B326" s="132"/>
      <c r="G326" s="132"/>
      <c r="I326" s="132"/>
      <c r="P326" s="132"/>
      <c r="Q326" s="132"/>
      <c r="T326" s="132"/>
      <c r="U326" s="132"/>
      <c r="Z326" s="132"/>
      <c r="AA326" s="132"/>
      <c r="AB326" s="132"/>
      <c r="AC326" s="132"/>
    </row>
    <row r="327" spans="1:29">
      <c r="A327" s="552"/>
      <c r="B327" s="132"/>
      <c r="G327" s="132"/>
      <c r="I327" s="132"/>
      <c r="P327" s="132"/>
      <c r="Q327" s="132"/>
      <c r="T327" s="132"/>
      <c r="U327" s="132"/>
      <c r="Z327" s="132"/>
      <c r="AA327" s="132"/>
      <c r="AB327" s="132"/>
      <c r="AC327" s="132"/>
    </row>
    <row r="328" spans="1:29">
      <c r="A328" s="552"/>
      <c r="B328" s="132"/>
      <c r="G328" s="132"/>
      <c r="I328" s="132"/>
      <c r="P328" s="132"/>
      <c r="Q328" s="132"/>
      <c r="T328" s="132"/>
      <c r="U328" s="132"/>
      <c r="Z328" s="132"/>
      <c r="AA328" s="132"/>
      <c r="AB328" s="132"/>
      <c r="AC328" s="132"/>
    </row>
    <row r="329" spans="1:29">
      <c r="A329" s="552"/>
      <c r="B329" s="132"/>
      <c r="G329" s="132"/>
      <c r="I329" s="132"/>
      <c r="P329" s="132"/>
      <c r="Q329" s="132"/>
      <c r="T329" s="132"/>
      <c r="U329" s="132"/>
      <c r="Z329" s="132"/>
      <c r="AA329" s="132"/>
      <c r="AB329" s="132"/>
      <c r="AC329" s="132"/>
    </row>
    <row r="330" spans="1:29">
      <c r="A330" s="552"/>
      <c r="B330" s="132"/>
      <c r="G330" s="132"/>
      <c r="I330" s="132"/>
      <c r="P330" s="132"/>
      <c r="Q330" s="132"/>
      <c r="T330" s="132"/>
      <c r="U330" s="132"/>
      <c r="Z330" s="132"/>
      <c r="AA330" s="132"/>
      <c r="AB330" s="132"/>
      <c r="AC330" s="132"/>
    </row>
    <row r="331" spans="1:29">
      <c r="A331" s="552"/>
      <c r="B331" s="132"/>
      <c r="G331" s="132"/>
      <c r="I331" s="132"/>
      <c r="P331" s="132"/>
      <c r="Q331" s="132"/>
      <c r="T331" s="132"/>
      <c r="U331" s="132"/>
      <c r="Z331" s="132"/>
      <c r="AA331" s="132"/>
      <c r="AB331" s="132"/>
      <c r="AC331" s="132"/>
    </row>
    <row r="332" spans="1:29">
      <c r="A332" s="552"/>
      <c r="B332" s="132"/>
      <c r="G332" s="132"/>
      <c r="I332" s="132"/>
      <c r="P332" s="132"/>
      <c r="Q332" s="132"/>
      <c r="T332" s="132"/>
      <c r="U332" s="132"/>
      <c r="Z332" s="132"/>
      <c r="AA332" s="132"/>
      <c r="AB332" s="132"/>
      <c r="AC332" s="132"/>
    </row>
    <row r="333" spans="1:29">
      <c r="A333" s="552"/>
      <c r="B333" s="132"/>
      <c r="G333" s="132"/>
      <c r="I333" s="132"/>
      <c r="P333" s="132"/>
      <c r="Q333" s="132"/>
      <c r="T333" s="132"/>
      <c r="U333" s="132"/>
      <c r="Z333" s="132"/>
      <c r="AA333" s="132"/>
      <c r="AB333" s="132"/>
      <c r="AC333" s="132"/>
    </row>
    <row r="334" spans="1:29">
      <c r="A334" s="552"/>
      <c r="B334" s="132"/>
      <c r="G334" s="132"/>
      <c r="I334" s="132"/>
      <c r="P334" s="132"/>
      <c r="Q334" s="132"/>
      <c r="T334" s="132"/>
      <c r="U334" s="132"/>
      <c r="Z334" s="132"/>
      <c r="AA334" s="132"/>
      <c r="AB334" s="132"/>
      <c r="AC334" s="132"/>
    </row>
    <row r="335" spans="1:29">
      <c r="A335" s="552"/>
      <c r="B335" s="132"/>
      <c r="G335" s="132"/>
      <c r="I335" s="132"/>
      <c r="P335" s="132"/>
      <c r="Q335" s="132"/>
      <c r="T335" s="132"/>
      <c r="U335" s="132"/>
      <c r="Z335" s="132"/>
      <c r="AA335" s="132"/>
      <c r="AB335" s="132"/>
      <c r="AC335" s="132"/>
    </row>
    <row r="336" spans="1:29">
      <c r="A336" s="552"/>
      <c r="B336" s="132"/>
      <c r="G336" s="132"/>
      <c r="I336" s="132"/>
      <c r="P336" s="132"/>
      <c r="Q336" s="132"/>
      <c r="T336" s="132"/>
      <c r="U336" s="132"/>
      <c r="Z336" s="132"/>
      <c r="AA336" s="132"/>
      <c r="AB336" s="132"/>
      <c r="AC336" s="132"/>
    </row>
    <row r="337" spans="1:29">
      <c r="A337" s="552"/>
      <c r="B337" s="132"/>
      <c r="G337" s="132"/>
      <c r="I337" s="132"/>
      <c r="P337" s="132"/>
      <c r="Q337" s="132"/>
      <c r="T337" s="132"/>
      <c r="U337" s="132"/>
      <c r="Z337" s="132"/>
      <c r="AA337" s="132"/>
      <c r="AB337" s="132"/>
      <c r="AC337" s="132"/>
    </row>
    <row r="338" spans="1:29">
      <c r="A338" s="552"/>
      <c r="B338" s="132"/>
      <c r="G338" s="132"/>
      <c r="I338" s="132"/>
      <c r="P338" s="132"/>
      <c r="Q338" s="132"/>
      <c r="T338" s="132"/>
      <c r="U338" s="132"/>
      <c r="Z338" s="132"/>
      <c r="AA338" s="132"/>
      <c r="AB338" s="132"/>
      <c r="AC338" s="132"/>
    </row>
    <row r="339" spans="1:29">
      <c r="A339" s="552"/>
      <c r="B339" s="132"/>
      <c r="G339" s="132"/>
      <c r="I339" s="132"/>
      <c r="P339" s="132"/>
      <c r="Q339" s="132"/>
      <c r="T339" s="132"/>
      <c r="U339" s="132"/>
      <c r="Z339" s="132"/>
      <c r="AA339" s="132"/>
      <c r="AB339" s="132"/>
      <c r="AC339" s="132"/>
    </row>
    <row r="340" spans="1:29">
      <c r="A340" s="552"/>
      <c r="B340" s="132"/>
      <c r="G340" s="132"/>
      <c r="I340" s="132"/>
      <c r="P340" s="132"/>
      <c r="Q340" s="132"/>
      <c r="T340" s="132"/>
      <c r="U340" s="132"/>
      <c r="Z340" s="132"/>
      <c r="AA340" s="132"/>
      <c r="AB340" s="132"/>
      <c r="AC340" s="132"/>
    </row>
    <row r="341" spans="1:29">
      <c r="A341" s="552"/>
      <c r="B341" s="132"/>
      <c r="G341" s="132"/>
      <c r="I341" s="132"/>
      <c r="P341" s="132"/>
      <c r="Q341" s="132"/>
      <c r="T341" s="132"/>
      <c r="U341" s="132"/>
      <c r="Z341" s="132"/>
      <c r="AA341" s="132"/>
      <c r="AB341" s="132"/>
      <c r="AC341" s="132"/>
    </row>
    <row r="342" spans="1:29">
      <c r="A342" s="552"/>
      <c r="B342" s="132"/>
      <c r="G342" s="132"/>
      <c r="I342" s="132"/>
      <c r="P342" s="132"/>
      <c r="Q342" s="132"/>
      <c r="T342" s="132"/>
      <c r="U342" s="132"/>
      <c r="Z342" s="132"/>
      <c r="AA342" s="132"/>
      <c r="AB342" s="132"/>
      <c r="AC342" s="132"/>
    </row>
    <row r="343" spans="1:29">
      <c r="A343" s="552"/>
      <c r="B343" s="132"/>
      <c r="G343" s="132"/>
      <c r="I343" s="132"/>
      <c r="P343" s="132"/>
      <c r="Q343" s="132"/>
      <c r="T343" s="132"/>
      <c r="U343" s="132"/>
      <c r="Z343" s="132"/>
      <c r="AA343" s="132"/>
      <c r="AB343" s="132"/>
      <c r="AC343" s="132"/>
    </row>
    <row r="344" spans="1:29">
      <c r="A344" s="552"/>
      <c r="B344" s="132"/>
      <c r="G344" s="132"/>
      <c r="I344" s="132"/>
      <c r="P344" s="132"/>
      <c r="Q344" s="132"/>
      <c r="T344" s="132"/>
      <c r="U344" s="132"/>
      <c r="Z344" s="132"/>
      <c r="AA344" s="132"/>
      <c r="AB344" s="132"/>
      <c r="AC344" s="132"/>
    </row>
    <row r="345" spans="1:29">
      <c r="A345" s="552"/>
      <c r="B345" s="132"/>
      <c r="G345" s="132"/>
      <c r="I345" s="132"/>
      <c r="P345" s="132"/>
      <c r="Q345" s="132"/>
      <c r="T345" s="132"/>
      <c r="U345" s="132"/>
      <c r="Z345" s="132"/>
      <c r="AA345" s="132"/>
      <c r="AB345" s="132"/>
      <c r="AC345" s="132"/>
    </row>
    <row r="346" spans="1:29">
      <c r="A346" s="552"/>
      <c r="B346" s="132"/>
      <c r="G346" s="132"/>
      <c r="I346" s="132"/>
      <c r="P346" s="132"/>
      <c r="Q346" s="132"/>
      <c r="T346" s="132"/>
      <c r="U346" s="132"/>
      <c r="Z346" s="132"/>
      <c r="AA346" s="132"/>
      <c r="AB346" s="132"/>
      <c r="AC346" s="132"/>
    </row>
    <row r="347" spans="1:29">
      <c r="A347" s="552"/>
      <c r="B347" s="132"/>
      <c r="G347" s="132"/>
      <c r="I347" s="132"/>
      <c r="P347" s="132"/>
      <c r="Q347" s="132"/>
      <c r="T347" s="132"/>
      <c r="U347" s="132"/>
      <c r="Z347" s="132"/>
      <c r="AA347" s="132"/>
      <c r="AB347" s="132"/>
      <c r="AC347" s="132"/>
    </row>
    <row r="348" spans="1:29">
      <c r="A348" s="552"/>
      <c r="B348" s="132"/>
      <c r="G348" s="132"/>
      <c r="I348" s="132"/>
      <c r="P348" s="132"/>
      <c r="Q348" s="132"/>
      <c r="T348" s="132"/>
      <c r="U348" s="132"/>
      <c r="Z348" s="132"/>
      <c r="AA348" s="132"/>
      <c r="AB348" s="132"/>
      <c r="AC348" s="132"/>
    </row>
    <row r="349" spans="1:29">
      <c r="A349" s="552"/>
      <c r="B349" s="132"/>
      <c r="G349" s="132"/>
      <c r="I349" s="132"/>
      <c r="P349" s="132"/>
      <c r="Q349" s="132"/>
      <c r="T349" s="132"/>
      <c r="U349" s="132"/>
      <c r="Z349" s="132"/>
      <c r="AA349" s="132"/>
      <c r="AB349" s="132"/>
      <c r="AC349" s="132"/>
    </row>
    <row r="350" spans="1:29">
      <c r="A350" s="552"/>
      <c r="B350" s="132"/>
      <c r="G350" s="132"/>
      <c r="I350" s="132"/>
      <c r="P350" s="132"/>
      <c r="Q350" s="132"/>
      <c r="T350" s="132"/>
      <c r="U350" s="132"/>
      <c r="Z350" s="132"/>
      <c r="AA350" s="132"/>
      <c r="AB350" s="132"/>
      <c r="AC350" s="132"/>
    </row>
    <row r="351" spans="1:29">
      <c r="A351" s="552"/>
      <c r="B351" s="132"/>
      <c r="G351" s="132"/>
      <c r="I351" s="132"/>
      <c r="P351" s="132"/>
      <c r="Q351" s="132"/>
      <c r="T351" s="132"/>
      <c r="U351" s="132"/>
      <c r="Z351" s="132"/>
      <c r="AA351" s="132"/>
      <c r="AB351" s="132"/>
      <c r="AC351" s="132"/>
    </row>
    <row r="352" spans="1:29">
      <c r="A352" s="552"/>
      <c r="B352" s="132"/>
      <c r="G352" s="132"/>
      <c r="I352" s="132"/>
      <c r="P352" s="132"/>
      <c r="Q352" s="132"/>
      <c r="T352" s="132"/>
      <c r="U352" s="132"/>
      <c r="Z352" s="132"/>
      <c r="AA352" s="132"/>
      <c r="AB352" s="132"/>
      <c r="AC352" s="132"/>
    </row>
    <row r="353" spans="1:29">
      <c r="A353" s="552"/>
      <c r="B353" s="132"/>
      <c r="G353" s="132"/>
      <c r="I353" s="132"/>
      <c r="P353" s="132"/>
      <c r="Q353" s="132"/>
      <c r="T353" s="132"/>
      <c r="U353" s="132"/>
      <c r="Z353" s="132"/>
      <c r="AA353" s="132"/>
      <c r="AB353" s="132"/>
      <c r="AC353" s="132"/>
    </row>
    <row r="354" spans="1:29">
      <c r="A354" s="552"/>
      <c r="B354" s="132"/>
      <c r="G354" s="132"/>
      <c r="I354" s="132"/>
      <c r="P354" s="132"/>
      <c r="Q354" s="132"/>
      <c r="T354" s="132"/>
      <c r="U354" s="132"/>
      <c r="Z354" s="132"/>
      <c r="AA354" s="132"/>
      <c r="AB354" s="132"/>
      <c r="AC354" s="132"/>
    </row>
    <row r="355" spans="1:29">
      <c r="A355" s="552"/>
      <c r="B355" s="132"/>
      <c r="G355" s="132"/>
      <c r="I355" s="132"/>
      <c r="P355" s="132"/>
      <c r="Q355" s="132"/>
      <c r="T355" s="132"/>
      <c r="U355" s="132"/>
      <c r="Z355" s="132"/>
      <c r="AA355" s="132"/>
      <c r="AB355" s="132"/>
      <c r="AC355" s="132"/>
    </row>
    <row r="356" spans="1:29">
      <c r="A356" s="552"/>
      <c r="B356" s="132"/>
      <c r="G356" s="132"/>
      <c r="I356" s="132"/>
      <c r="P356" s="132"/>
      <c r="Q356" s="132"/>
      <c r="T356" s="132"/>
      <c r="U356" s="132"/>
      <c r="Z356" s="132"/>
      <c r="AA356" s="132"/>
      <c r="AB356" s="132"/>
      <c r="AC356" s="132"/>
    </row>
    <row r="357" spans="1:29">
      <c r="A357" s="552"/>
      <c r="B357" s="132"/>
      <c r="G357" s="132"/>
      <c r="I357" s="132"/>
      <c r="P357" s="132"/>
      <c r="Q357" s="132"/>
      <c r="T357" s="132"/>
      <c r="U357" s="132"/>
      <c r="Z357" s="132"/>
      <c r="AA357" s="132"/>
      <c r="AB357" s="132"/>
      <c r="AC357" s="132"/>
    </row>
    <row r="358" spans="1:29">
      <c r="A358" s="552"/>
      <c r="B358" s="132"/>
      <c r="G358" s="132"/>
      <c r="I358" s="132"/>
      <c r="P358" s="132"/>
      <c r="Q358" s="132"/>
      <c r="T358" s="132"/>
      <c r="U358" s="132"/>
      <c r="Z358" s="132"/>
      <c r="AA358" s="132"/>
      <c r="AB358" s="132"/>
      <c r="AC358" s="132"/>
    </row>
    <row r="359" spans="1:29">
      <c r="A359" s="552"/>
      <c r="B359" s="132"/>
      <c r="G359" s="132"/>
      <c r="I359" s="132"/>
      <c r="P359" s="132"/>
      <c r="Q359" s="132"/>
      <c r="T359" s="132"/>
      <c r="U359" s="132"/>
      <c r="Z359" s="132"/>
      <c r="AA359" s="132"/>
      <c r="AB359" s="132"/>
      <c r="AC359" s="132"/>
    </row>
    <row r="360" spans="1:29">
      <c r="A360" s="552"/>
      <c r="B360" s="132"/>
      <c r="G360" s="132"/>
      <c r="I360" s="132"/>
      <c r="P360" s="132"/>
      <c r="Q360" s="132"/>
      <c r="T360" s="132"/>
      <c r="U360" s="132"/>
      <c r="Z360" s="132"/>
      <c r="AA360" s="132"/>
      <c r="AB360" s="132"/>
      <c r="AC360" s="132"/>
    </row>
    <row r="361" spans="1:29">
      <c r="A361" s="552"/>
      <c r="B361" s="132"/>
      <c r="G361" s="132"/>
      <c r="I361" s="132"/>
      <c r="P361" s="132"/>
      <c r="Q361" s="132"/>
      <c r="T361" s="132"/>
      <c r="U361" s="132"/>
      <c r="Z361" s="132"/>
      <c r="AA361" s="132"/>
      <c r="AB361" s="132"/>
      <c r="AC361" s="132"/>
    </row>
    <row r="362" spans="1:29">
      <c r="A362" s="552"/>
      <c r="B362" s="132"/>
      <c r="G362" s="132"/>
      <c r="I362" s="132"/>
      <c r="P362" s="132"/>
      <c r="Q362" s="132"/>
      <c r="T362" s="132"/>
      <c r="U362" s="132"/>
      <c r="Z362" s="132"/>
      <c r="AA362" s="132"/>
      <c r="AB362" s="132"/>
      <c r="AC362" s="132"/>
    </row>
    <row r="363" spans="1:29">
      <c r="A363" s="552"/>
      <c r="B363" s="132"/>
      <c r="G363" s="132"/>
      <c r="I363" s="132"/>
      <c r="P363" s="132"/>
      <c r="Q363" s="132"/>
      <c r="T363" s="132"/>
      <c r="U363" s="132"/>
      <c r="Z363" s="132"/>
      <c r="AA363" s="132"/>
      <c r="AB363" s="132"/>
      <c r="AC363" s="132"/>
    </row>
    <row r="364" spans="1:29">
      <c r="A364" s="552"/>
      <c r="B364" s="132"/>
      <c r="G364" s="132"/>
      <c r="I364" s="132"/>
      <c r="P364" s="132"/>
      <c r="Q364" s="132"/>
      <c r="T364" s="132"/>
      <c r="U364" s="132"/>
      <c r="Z364" s="132"/>
      <c r="AA364" s="132"/>
      <c r="AB364" s="132"/>
      <c r="AC364" s="132"/>
    </row>
    <row r="365" spans="1:29">
      <c r="A365" s="552"/>
      <c r="B365" s="132"/>
      <c r="G365" s="132"/>
      <c r="I365" s="132"/>
      <c r="P365" s="132"/>
      <c r="Q365" s="132"/>
      <c r="T365" s="132"/>
      <c r="U365" s="132"/>
      <c r="Z365" s="132"/>
      <c r="AA365" s="132"/>
      <c r="AB365" s="132"/>
      <c r="AC365" s="132"/>
    </row>
    <row r="366" spans="1:29">
      <c r="A366" s="552"/>
      <c r="B366" s="132"/>
      <c r="G366" s="132"/>
      <c r="I366" s="132"/>
      <c r="P366" s="132"/>
      <c r="Q366" s="132"/>
      <c r="T366" s="132"/>
      <c r="U366" s="132"/>
      <c r="Z366" s="132"/>
      <c r="AA366" s="132"/>
      <c r="AB366" s="132"/>
      <c r="AC366" s="132"/>
    </row>
    <row r="367" spans="1:29">
      <c r="A367" s="552"/>
      <c r="B367" s="132"/>
      <c r="G367" s="132"/>
      <c r="I367" s="132"/>
      <c r="P367" s="132"/>
      <c r="Q367" s="132"/>
      <c r="T367" s="132"/>
      <c r="U367" s="132"/>
      <c r="Z367" s="132"/>
      <c r="AA367" s="132"/>
      <c r="AB367" s="132"/>
      <c r="AC367" s="132"/>
    </row>
    <row r="368" spans="1:29">
      <c r="A368" s="552"/>
      <c r="B368" s="132"/>
      <c r="G368" s="132"/>
      <c r="I368" s="132"/>
      <c r="P368" s="132"/>
      <c r="Q368" s="132"/>
      <c r="T368" s="132"/>
      <c r="U368" s="132"/>
      <c r="Z368" s="132"/>
      <c r="AA368" s="132"/>
      <c r="AB368" s="132"/>
      <c r="AC368" s="132"/>
    </row>
    <row r="369" spans="1:29">
      <c r="A369" s="552"/>
      <c r="B369" s="132"/>
      <c r="G369" s="132"/>
      <c r="I369" s="132"/>
      <c r="P369" s="132"/>
      <c r="Q369" s="132"/>
      <c r="T369" s="132"/>
      <c r="U369" s="132"/>
      <c r="Z369" s="132"/>
      <c r="AA369" s="132"/>
      <c r="AB369" s="132"/>
      <c r="AC369" s="132"/>
    </row>
    <row r="370" spans="1:29">
      <c r="A370" s="552"/>
      <c r="B370" s="132"/>
      <c r="G370" s="132"/>
      <c r="I370" s="132"/>
      <c r="P370" s="132"/>
      <c r="Q370" s="132"/>
      <c r="T370" s="132"/>
      <c r="U370" s="132"/>
      <c r="Z370" s="132"/>
      <c r="AA370" s="132"/>
      <c r="AB370" s="132"/>
      <c r="AC370" s="132"/>
    </row>
    <row r="371" spans="1:29">
      <c r="A371" s="552"/>
      <c r="B371" s="132"/>
      <c r="G371" s="132"/>
      <c r="I371" s="132"/>
      <c r="P371" s="132"/>
      <c r="Q371" s="132"/>
      <c r="T371" s="132"/>
      <c r="U371" s="132"/>
      <c r="Z371" s="132"/>
      <c r="AA371" s="132"/>
      <c r="AB371" s="132"/>
      <c r="AC371" s="132"/>
    </row>
    <row r="372" spans="1:29">
      <c r="A372" s="552"/>
      <c r="B372" s="132"/>
      <c r="G372" s="132"/>
      <c r="I372" s="132"/>
      <c r="P372" s="132"/>
      <c r="Q372" s="132"/>
      <c r="T372" s="132"/>
      <c r="U372" s="132"/>
      <c r="Z372" s="132"/>
      <c r="AA372" s="132"/>
      <c r="AB372" s="132"/>
      <c r="AC372" s="132"/>
    </row>
    <row r="373" spans="1:29">
      <c r="A373" s="552"/>
      <c r="B373" s="132"/>
      <c r="G373" s="132"/>
      <c r="I373" s="132"/>
      <c r="P373" s="132"/>
      <c r="Q373" s="132"/>
      <c r="T373" s="132"/>
      <c r="U373" s="132"/>
      <c r="Z373" s="132"/>
      <c r="AA373" s="132"/>
      <c r="AB373" s="132"/>
      <c r="AC373" s="132"/>
    </row>
    <row r="374" spans="1:29">
      <c r="A374" s="552"/>
      <c r="B374" s="132"/>
      <c r="G374" s="132"/>
      <c r="I374" s="132"/>
      <c r="P374" s="132"/>
      <c r="Q374" s="132"/>
      <c r="T374" s="132"/>
      <c r="U374" s="132"/>
      <c r="Z374" s="132"/>
      <c r="AA374" s="132"/>
      <c r="AB374" s="132"/>
      <c r="AC374" s="132"/>
    </row>
    <row r="375" spans="1:29">
      <c r="A375" s="552"/>
      <c r="B375" s="132"/>
      <c r="G375" s="132"/>
      <c r="I375" s="132"/>
      <c r="P375" s="132"/>
      <c r="Q375" s="132"/>
      <c r="T375" s="132"/>
      <c r="U375" s="132"/>
      <c r="Z375" s="132"/>
      <c r="AA375" s="132"/>
      <c r="AB375" s="132"/>
      <c r="AC375" s="132"/>
    </row>
    <row r="376" spans="1:29">
      <c r="A376" s="552"/>
      <c r="B376" s="132"/>
      <c r="G376" s="132"/>
      <c r="I376" s="132"/>
      <c r="P376" s="132"/>
      <c r="Q376" s="132"/>
      <c r="T376" s="132"/>
      <c r="U376" s="132"/>
      <c r="Z376" s="132"/>
      <c r="AA376" s="132"/>
      <c r="AB376" s="132"/>
      <c r="AC376" s="132"/>
    </row>
    <row r="377" spans="1:29">
      <c r="A377" s="552"/>
      <c r="B377" s="132"/>
      <c r="G377" s="132"/>
      <c r="I377" s="132"/>
      <c r="P377" s="132"/>
      <c r="Q377" s="132"/>
      <c r="T377" s="132"/>
      <c r="U377" s="132"/>
      <c r="Z377" s="132"/>
      <c r="AA377" s="132"/>
      <c r="AB377" s="132"/>
      <c r="AC377" s="132"/>
    </row>
    <row r="378" spans="1:29">
      <c r="A378" s="552"/>
      <c r="B378" s="132"/>
      <c r="G378" s="132"/>
      <c r="I378" s="132"/>
      <c r="P378" s="132"/>
      <c r="Q378" s="132"/>
      <c r="T378" s="132"/>
      <c r="U378" s="132"/>
      <c r="Z378" s="132"/>
      <c r="AA378" s="132"/>
      <c r="AB378" s="132"/>
      <c r="AC378" s="132"/>
    </row>
    <row r="379" spans="1:29">
      <c r="A379" s="552"/>
      <c r="B379" s="132"/>
      <c r="G379" s="132"/>
      <c r="I379" s="132"/>
      <c r="P379" s="132"/>
      <c r="Q379" s="132"/>
      <c r="T379" s="132"/>
      <c r="U379" s="132"/>
      <c r="Z379" s="132"/>
      <c r="AA379" s="132"/>
      <c r="AB379" s="132"/>
      <c r="AC379" s="132"/>
    </row>
    <row r="380" spans="1:29">
      <c r="A380" s="552"/>
      <c r="B380" s="132"/>
      <c r="G380" s="132"/>
      <c r="I380" s="132"/>
      <c r="P380" s="132"/>
      <c r="Q380" s="132"/>
      <c r="T380" s="132"/>
      <c r="U380" s="132"/>
      <c r="Z380" s="132"/>
      <c r="AA380" s="132"/>
      <c r="AB380" s="132"/>
      <c r="AC380" s="132"/>
    </row>
    <row r="381" spans="1:29">
      <c r="A381" s="552"/>
      <c r="B381" s="132"/>
      <c r="G381" s="132"/>
      <c r="I381" s="132"/>
      <c r="P381" s="132"/>
      <c r="Q381" s="132"/>
      <c r="T381" s="132"/>
      <c r="U381" s="132"/>
      <c r="Z381" s="132"/>
      <c r="AA381" s="132"/>
      <c r="AB381" s="132"/>
      <c r="AC381" s="132"/>
    </row>
    <row r="382" spans="1:29">
      <c r="A382" s="552"/>
      <c r="B382" s="132"/>
      <c r="G382" s="132"/>
      <c r="I382" s="132"/>
      <c r="P382" s="132"/>
      <c r="Q382" s="132"/>
      <c r="T382" s="132"/>
      <c r="U382" s="132"/>
      <c r="Z382" s="132"/>
      <c r="AA382" s="132"/>
      <c r="AB382" s="132"/>
      <c r="AC382" s="132"/>
    </row>
    <row r="383" spans="1:29">
      <c r="A383" s="552"/>
      <c r="B383" s="132"/>
      <c r="G383" s="132"/>
      <c r="I383" s="132"/>
      <c r="P383" s="132"/>
      <c r="Q383" s="132"/>
      <c r="T383" s="132"/>
      <c r="U383" s="132"/>
      <c r="Z383" s="132"/>
      <c r="AA383" s="132"/>
      <c r="AB383" s="132"/>
      <c r="AC383" s="132"/>
    </row>
    <row r="384" spans="1:29">
      <c r="A384" s="552"/>
      <c r="B384" s="132"/>
      <c r="G384" s="132"/>
      <c r="I384" s="132"/>
      <c r="P384" s="132"/>
      <c r="Q384" s="132"/>
      <c r="T384" s="132"/>
      <c r="U384" s="132"/>
      <c r="Z384" s="132"/>
      <c r="AA384" s="132"/>
      <c r="AB384" s="132"/>
      <c r="AC384" s="132"/>
    </row>
    <row r="385" spans="1:29">
      <c r="A385" s="552"/>
      <c r="B385" s="132"/>
      <c r="G385" s="132"/>
      <c r="I385" s="132"/>
      <c r="P385" s="132"/>
      <c r="Q385" s="132"/>
      <c r="T385" s="132"/>
      <c r="U385" s="132"/>
      <c r="Z385" s="132"/>
      <c r="AA385" s="132"/>
      <c r="AB385" s="132"/>
      <c r="AC385" s="132"/>
    </row>
    <row r="386" spans="1:29">
      <c r="A386" s="552"/>
      <c r="B386" s="132"/>
      <c r="G386" s="132"/>
      <c r="I386" s="132"/>
      <c r="P386" s="132"/>
      <c r="Q386" s="132"/>
      <c r="T386" s="132"/>
      <c r="U386" s="132"/>
      <c r="Z386" s="132"/>
      <c r="AA386" s="132"/>
      <c r="AB386" s="132"/>
      <c r="AC386" s="132"/>
    </row>
    <row r="387" spans="1:29">
      <c r="A387" s="552"/>
      <c r="B387" s="132"/>
      <c r="G387" s="132"/>
      <c r="I387" s="132"/>
      <c r="P387" s="132"/>
      <c r="Q387" s="132"/>
      <c r="T387" s="132"/>
      <c r="U387" s="132"/>
      <c r="Z387" s="132"/>
      <c r="AA387" s="132"/>
      <c r="AB387" s="132"/>
      <c r="AC387" s="132"/>
    </row>
    <row r="388" spans="1:29">
      <c r="A388" s="552"/>
      <c r="B388" s="132"/>
      <c r="G388" s="132"/>
      <c r="I388" s="132"/>
      <c r="P388" s="132"/>
      <c r="Q388" s="132"/>
      <c r="T388" s="132"/>
      <c r="U388" s="132"/>
      <c r="Z388" s="132"/>
      <c r="AA388" s="132"/>
      <c r="AB388" s="132"/>
      <c r="AC388" s="132"/>
    </row>
    <row r="389" spans="1:29">
      <c r="A389" s="552"/>
      <c r="B389" s="132"/>
      <c r="G389" s="132"/>
      <c r="I389" s="132"/>
      <c r="P389" s="132"/>
      <c r="Q389" s="132"/>
      <c r="T389" s="132"/>
      <c r="U389" s="132"/>
      <c r="Z389" s="132"/>
      <c r="AA389" s="132"/>
      <c r="AB389" s="132"/>
      <c r="AC389" s="132"/>
    </row>
    <row r="390" spans="1:29">
      <c r="A390" s="552"/>
      <c r="B390" s="132"/>
      <c r="G390" s="132"/>
      <c r="I390" s="132"/>
      <c r="P390" s="132"/>
      <c r="Q390" s="132"/>
      <c r="T390" s="132"/>
      <c r="U390" s="132"/>
      <c r="Z390" s="132"/>
      <c r="AA390" s="132"/>
      <c r="AB390" s="132"/>
      <c r="AC390" s="132"/>
    </row>
    <row r="391" spans="1:29">
      <c r="A391" s="552"/>
      <c r="B391" s="132"/>
      <c r="G391" s="132"/>
      <c r="I391" s="132"/>
      <c r="P391" s="132"/>
      <c r="Q391" s="132"/>
      <c r="T391" s="132"/>
      <c r="U391" s="132"/>
      <c r="Z391" s="132"/>
      <c r="AA391" s="132"/>
      <c r="AB391" s="132"/>
      <c r="AC391" s="132"/>
    </row>
    <row r="392" spans="1:29">
      <c r="A392" s="552"/>
      <c r="B392" s="132"/>
      <c r="G392" s="132"/>
      <c r="I392" s="132"/>
      <c r="P392" s="132"/>
      <c r="Q392" s="132"/>
      <c r="T392" s="132"/>
      <c r="U392" s="132"/>
      <c r="Z392" s="132"/>
      <c r="AA392" s="132"/>
      <c r="AB392" s="132"/>
      <c r="AC392" s="132"/>
    </row>
    <row r="393" spans="1:29">
      <c r="A393" s="552"/>
      <c r="B393" s="132"/>
      <c r="G393" s="132"/>
      <c r="I393" s="132"/>
      <c r="P393" s="132"/>
      <c r="Q393" s="132"/>
      <c r="T393" s="132"/>
      <c r="U393" s="132"/>
      <c r="Z393" s="132"/>
      <c r="AA393" s="132"/>
      <c r="AB393" s="132"/>
      <c r="AC393" s="132"/>
    </row>
    <row r="394" spans="1:29">
      <c r="A394" s="552"/>
      <c r="B394" s="132"/>
      <c r="G394" s="132"/>
      <c r="I394" s="132"/>
      <c r="P394" s="132"/>
      <c r="Q394" s="132"/>
      <c r="T394" s="132"/>
      <c r="U394" s="132"/>
      <c r="Z394" s="132"/>
      <c r="AA394" s="132"/>
      <c r="AB394" s="132"/>
      <c r="AC394" s="132"/>
    </row>
    <row r="395" spans="1:29">
      <c r="A395" s="552"/>
      <c r="B395" s="132"/>
      <c r="G395" s="132"/>
      <c r="I395" s="132"/>
      <c r="P395" s="132"/>
      <c r="Q395" s="132"/>
      <c r="T395" s="132"/>
      <c r="U395" s="132"/>
      <c r="Z395" s="132"/>
      <c r="AA395" s="132"/>
      <c r="AB395" s="132"/>
      <c r="AC395" s="132"/>
    </row>
    <row r="396" spans="1:29">
      <c r="A396" s="552"/>
      <c r="B396" s="132"/>
      <c r="G396" s="132"/>
      <c r="I396" s="132"/>
      <c r="P396" s="132"/>
      <c r="Q396" s="132"/>
      <c r="T396" s="132"/>
      <c r="U396" s="132"/>
      <c r="Z396" s="132"/>
      <c r="AA396" s="132"/>
      <c r="AB396" s="132"/>
      <c r="AC396" s="132"/>
    </row>
    <row r="397" spans="1:29">
      <c r="A397" s="552"/>
      <c r="B397" s="132"/>
      <c r="G397" s="132"/>
      <c r="I397" s="132"/>
      <c r="P397" s="132"/>
      <c r="Q397" s="132"/>
      <c r="T397" s="132"/>
      <c r="U397" s="132"/>
      <c r="Z397" s="132"/>
      <c r="AA397" s="132"/>
      <c r="AB397" s="132"/>
      <c r="AC397" s="132"/>
    </row>
    <row r="398" spans="1:29">
      <c r="A398" s="552"/>
      <c r="B398" s="132"/>
      <c r="G398" s="132"/>
      <c r="I398" s="132"/>
      <c r="P398" s="132"/>
      <c r="Q398" s="132"/>
      <c r="T398" s="132"/>
      <c r="U398" s="132"/>
      <c r="Z398" s="132"/>
      <c r="AA398" s="132"/>
      <c r="AB398" s="132"/>
      <c r="AC398" s="132"/>
    </row>
    <row r="399" spans="1:29">
      <c r="A399" s="552"/>
      <c r="B399" s="132"/>
      <c r="G399" s="132"/>
      <c r="I399" s="132"/>
      <c r="P399" s="132"/>
      <c r="Q399" s="132"/>
      <c r="T399" s="132"/>
      <c r="U399" s="132"/>
      <c r="Z399" s="132"/>
      <c r="AA399" s="132"/>
      <c r="AB399" s="132"/>
      <c r="AC399" s="132"/>
    </row>
    <row r="400" spans="1:29">
      <c r="A400" s="552"/>
      <c r="B400" s="132"/>
      <c r="G400" s="132"/>
      <c r="I400" s="132"/>
      <c r="P400" s="132"/>
      <c r="Q400" s="132"/>
      <c r="T400" s="132"/>
      <c r="U400" s="132"/>
      <c r="Z400" s="132"/>
      <c r="AA400" s="132"/>
      <c r="AB400" s="132"/>
      <c r="AC400" s="132"/>
    </row>
    <row r="401" spans="1:29">
      <c r="A401" s="552"/>
      <c r="B401" s="132"/>
      <c r="G401" s="132"/>
      <c r="I401" s="132"/>
      <c r="P401" s="132"/>
      <c r="Q401" s="132"/>
      <c r="T401" s="132"/>
      <c r="U401" s="132"/>
      <c r="Z401" s="132"/>
      <c r="AA401" s="132"/>
      <c r="AB401" s="132"/>
      <c r="AC401" s="132"/>
    </row>
    <row r="402" spans="1:29">
      <c r="A402" s="552"/>
      <c r="B402" s="132"/>
      <c r="G402" s="132"/>
      <c r="I402" s="132"/>
      <c r="P402" s="132"/>
      <c r="Q402" s="132"/>
      <c r="T402" s="132"/>
      <c r="U402" s="132"/>
      <c r="Z402" s="132"/>
      <c r="AA402" s="132"/>
      <c r="AB402" s="132"/>
      <c r="AC402" s="132"/>
    </row>
    <row r="403" spans="1:29">
      <c r="A403" s="552"/>
      <c r="B403" s="132"/>
      <c r="G403" s="132"/>
      <c r="I403" s="132"/>
      <c r="P403" s="132"/>
      <c r="Q403" s="132"/>
      <c r="T403" s="132"/>
      <c r="U403" s="132"/>
      <c r="Z403" s="132"/>
      <c r="AA403" s="132"/>
      <c r="AB403" s="132"/>
      <c r="AC403" s="132"/>
    </row>
    <row r="404" spans="1:29">
      <c r="A404" s="552"/>
      <c r="B404" s="132"/>
      <c r="G404" s="132"/>
      <c r="I404" s="132"/>
      <c r="P404" s="132"/>
      <c r="Q404" s="132"/>
      <c r="T404" s="132"/>
      <c r="U404" s="132"/>
      <c r="Z404" s="132"/>
      <c r="AA404" s="132"/>
      <c r="AB404" s="132"/>
      <c r="AC404" s="132"/>
    </row>
    <row r="405" spans="1:29">
      <c r="A405" s="552"/>
      <c r="B405" s="132"/>
      <c r="G405" s="132"/>
      <c r="I405" s="132"/>
      <c r="P405" s="132"/>
      <c r="Q405" s="132"/>
      <c r="T405" s="132"/>
      <c r="U405" s="132"/>
      <c r="Z405" s="132"/>
      <c r="AA405" s="132"/>
      <c r="AB405" s="132"/>
      <c r="AC405" s="132"/>
    </row>
    <row r="406" spans="1:29">
      <c r="A406" s="552"/>
      <c r="B406" s="132"/>
      <c r="G406" s="132"/>
      <c r="I406" s="132"/>
      <c r="P406" s="132"/>
      <c r="Q406" s="132"/>
      <c r="T406" s="132"/>
      <c r="U406" s="132"/>
      <c r="Z406" s="132"/>
      <c r="AA406" s="132"/>
      <c r="AB406" s="132"/>
      <c r="AC406" s="132"/>
    </row>
    <row r="407" spans="1:29">
      <c r="A407" s="552"/>
      <c r="B407" s="132"/>
      <c r="G407" s="132"/>
      <c r="I407" s="132"/>
      <c r="P407" s="132"/>
      <c r="Q407" s="132"/>
      <c r="T407" s="132"/>
      <c r="U407" s="132"/>
      <c r="Z407" s="132"/>
      <c r="AA407" s="132"/>
      <c r="AB407" s="132"/>
      <c r="AC407" s="132"/>
    </row>
    <row r="408" spans="1:29">
      <c r="A408" s="552"/>
      <c r="B408" s="132"/>
      <c r="G408" s="132"/>
      <c r="I408" s="132"/>
      <c r="P408" s="132"/>
      <c r="Q408" s="132"/>
      <c r="T408" s="132"/>
      <c r="U408" s="132"/>
      <c r="Z408" s="132"/>
      <c r="AA408" s="132"/>
      <c r="AB408" s="132"/>
      <c r="AC408" s="132"/>
    </row>
    <row r="409" spans="1:29">
      <c r="A409" s="552"/>
      <c r="B409" s="132"/>
      <c r="G409" s="132"/>
      <c r="I409" s="132"/>
      <c r="P409" s="132"/>
      <c r="Q409" s="132"/>
      <c r="T409" s="132"/>
      <c r="U409" s="132"/>
      <c r="Z409" s="132"/>
      <c r="AA409" s="132"/>
      <c r="AB409" s="132"/>
      <c r="AC409" s="132"/>
    </row>
    <row r="410" spans="1:29">
      <c r="A410" s="552"/>
      <c r="B410" s="132"/>
      <c r="G410" s="132"/>
      <c r="I410" s="132"/>
      <c r="P410" s="132"/>
      <c r="Q410" s="132"/>
      <c r="T410" s="132"/>
      <c r="U410" s="132"/>
      <c r="Z410" s="132"/>
      <c r="AA410" s="132"/>
      <c r="AB410" s="132"/>
      <c r="AC410" s="132"/>
    </row>
    <row r="411" spans="1:29">
      <c r="A411" s="552"/>
      <c r="B411" s="132"/>
      <c r="G411" s="132"/>
      <c r="I411" s="132"/>
      <c r="P411" s="132"/>
      <c r="Q411" s="132"/>
      <c r="T411" s="132"/>
      <c r="U411" s="132"/>
      <c r="Z411" s="132"/>
      <c r="AA411" s="132"/>
      <c r="AB411" s="132"/>
      <c r="AC411" s="132"/>
    </row>
    <row r="412" spans="1:29">
      <c r="A412" s="552"/>
      <c r="B412" s="132"/>
      <c r="G412" s="132"/>
      <c r="I412" s="132"/>
      <c r="P412" s="132"/>
      <c r="Q412" s="132"/>
      <c r="T412" s="132"/>
      <c r="U412" s="132"/>
      <c r="Z412" s="132"/>
      <c r="AA412" s="132"/>
      <c r="AB412" s="132"/>
      <c r="AC412" s="132"/>
    </row>
    <row r="413" spans="1:29">
      <c r="A413" s="552"/>
      <c r="B413" s="132"/>
      <c r="G413" s="132"/>
      <c r="I413" s="132"/>
      <c r="P413" s="132"/>
      <c r="Q413" s="132"/>
      <c r="T413" s="132"/>
      <c r="U413" s="132"/>
      <c r="Z413" s="132"/>
      <c r="AA413" s="132"/>
      <c r="AB413" s="132"/>
      <c r="AC413" s="132"/>
    </row>
    <row r="414" spans="1:29">
      <c r="A414" s="552"/>
      <c r="B414" s="132"/>
      <c r="G414" s="132"/>
      <c r="I414" s="132"/>
      <c r="P414" s="132"/>
      <c r="Q414" s="132"/>
      <c r="T414" s="132"/>
      <c r="U414" s="132"/>
      <c r="Z414" s="132"/>
      <c r="AA414" s="132"/>
      <c r="AB414" s="132"/>
      <c r="AC414" s="132"/>
    </row>
    <row r="415" spans="1:29">
      <c r="A415" s="552"/>
      <c r="B415" s="132"/>
      <c r="G415" s="132"/>
      <c r="I415" s="132"/>
      <c r="P415" s="132"/>
      <c r="Q415" s="132"/>
      <c r="T415" s="132"/>
      <c r="U415" s="132"/>
      <c r="Z415" s="132"/>
      <c r="AA415" s="132"/>
      <c r="AB415" s="132"/>
      <c r="AC415" s="132"/>
    </row>
    <row r="416" spans="1:29">
      <c r="A416" s="552"/>
      <c r="B416" s="132"/>
      <c r="G416" s="132"/>
      <c r="I416" s="132"/>
      <c r="P416" s="132"/>
      <c r="Q416" s="132"/>
      <c r="T416" s="132"/>
      <c r="U416" s="132"/>
      <c r="Z416" s="132"/>
      <c r="AA416" s="132"/>
      <c r="AB416" s="132"/>
      <c r="AC416" s="132"/>
    </row>
    <row r="417" spans="1:29">
      <c r="A417" s="552"/>
      <c r="B417" s="132"/>
      <c r="G417" s="132"/>
      <c r="I417" s="132"/>
      <c r="P417" s="132"/>
      <c r="Q417" s="132"/>
      <c r="T417" s="132"/>
      <c r="U417" s="132"/>
      <c r="Z417" s="132"/>
      <c r="AA417" s="132"/>
      <c r="AB417" s="132"/>
      <c r="AC417" s="132"/>
    </row>
    <row r="418" spans="1:29">
      <c r="A418" s="552"/>
      <c r="B418" s="132"/>
      <c r="G418" s="132"/>
      <c r="I418" s="132"/>
      <c r="P418" s="132"/>
      <c r="Q418" s="132"/>
      <c r="T418" s="132"/>
      <c r="U418" s="132"/>
      <c r="Z418" s="132"/>
      <c r="AA418" s="132"/>
      <c r="AB418" s="132"/>
      <c r="AC418" s="132"/>
    </row>
    <row r="419" spans="1:29">
      <c r="A419" s="552"/>
      <c r="B419" s="132"/>
      <c r="G419" s="132"/>
      <c r="I419" s="132"/>
      <c r="P419" s="132"/>
      <c r="Q419" s="132"/>
      <c r="T419" s="132"/>
      <c r="U419" s="132"/>
      <c r="Z419" s="132"/>
      <c r="AA419" s="132"/>
      <c r="AB419" s="132"/>
      <c r="AC419" s="132"/>
    </row>
    <row r="420" spans="1:29">
      <c r="A420" s="552"/>
      <c r="B420" s="132"/>
      <c r="G420" s="132"/>
      <c r="I420" s="132"/>
      <c r="P420" s="132"/>
      <c r="Q420" s="132"/>
      <c r="T420" s="132"/>
      <c r="U420" s="132"/>
      <c r="Z420" s="132"/>
      <c r="AA420" s="132"/>
      <c r="AB420" s="132"/>
      <c r="AC420" s="132"/>
    </row>
    <row r="421" spans="1:29">
      <c r="A421" s="552"/>
      <c r="B421" s="132"/>
      <c r="G421" s="132"/>
      <c r="I421" s="132"/>
      <c r="P421" s="132"/>
      <c r="Q421" s="132"/>
      <c r="T421" s="132"/>
      <c r="U421" s="132"/>
      <c r="Z421" s="132"/>
      <c r="AA421" s="132"/>
      <c r="AB421" s="132"/>
      <c r="AC421" s="132"/>
    </row>
    <row r="422" spans="1:29">
      <c r="A422" s="552"/>
      <c r="B422" s="132"/>
      <c r="G422" s="132"/>
      <c r="I422" s="132"/>
      <c r="P422" s="132"/>
      <c r="Q422" s="132"/>
      <c r="T422" s="132"/>
      <c r="U422" s="132"/>
      <c r="Z422" s="132"/>
      <c r="AA422" s="132"/>
      <c r="AB422" s="132"/>
      <c r="AC422" s="132"/>
    </row>
    <row r="423" spans="1:29">
      <c r="A423" s="552"/>
      <c r="B423" s="132"/>
      <c r="G423" s="132"/>
      <c r="I423" s="132"/>
      <c r="P423" s="132"/>
      <c r="Q423" s="132"/>
      <c r="T423" s="132"/>
      <c r="U423" s="132"/>
      <c r="Z423" s="132"/>
      <c r="AA423" s="132"/>
      <c r="AB423" s="132"/>
      <c r="AC423" s="132"/>
    </row>
    <row r="424" spans="1:29">
      <c r="A424" s="552"/>
      <c r="B424" s="132"/>
      <c r="G424" s="132"/>
      <c r="I424" s="132"/>
      <c r="P424" s="132"/>
      <c r="Q424" s="132"/>
      <c r="T424" s="132"/>
      <c r="U424" s="132"/>
      <c r="Z424" s="132"/>
      <c r="AA424" s="132"/>
      <c r="AB424" s="132"/>
      <c r="AC424" s="132"/>
    </row>
    <row r="425" spans="1:29">
      <c r="A425" s="552"/>
      <c r="B425" s="132"/>
      <c r="G425" s="132"/>
      <c r="I425" s="132"/>
      <c r="P425" s="132"/>
      <c r="Q425" s="132"/>
      <c r="T425" s="132"/>
      <c r="U425" s="132"/>
      <c r="Z425" s="132"/>
      <c r="AA425" s="132"/>
      <c r="AB425" s="132"/>
      <c r="AC425" s="132"/>
    </row>
    <row r="426" spans="1:29">
      <c r="A426" s="552"/>
      <c r="B426" s="132"/>
      <c r="G426" s="132"/>
      <c r="I426" s="132"/>
      <c r="P426" s="132"/>
      <c r="Q426" s="132"/>
      <c r="T426" s="132"/>
      <c r="U426" s="132"/>
      <c r="Z426" s="132"/>
      <c r="AA426" s="132"/>
      <c r="AB426" s="132"/>
      <c r="AC426" s="132"/>
    </row>
    <row r="427" spans="1:29">
      <c r="A427" s="552"/>
      <c r="B427" s="132"/>
      <c r="G427" s="132"/>
      <c r="I427" s="132"/>
      <c r="P427" s="132"/>
      <c r="Q427" s="132"/>
      <c r="T427" s="132"/>
      <c r="U427" s="132"/>
      <c r="Z427" s="132"/>
      <c r="AA427" s="132"/>
      <c r="AB427" s="132"/>
      <c r="AC427" s="132"/>
    </row>
    <row r="428" spans="1:29">
      <c r="A428" s="552"/>
      <c r="B428" s="132"/>
      <c r="G428" s="132"/>
      <c r="I428" s="132"/>
      <c r="P428" s="132"/>
      <c r="Q428" s="132"/>
      <c r="T428" s="132"/>
      <c r="U428" s="132"/>
      <c r="Z428" s="132"/>
      <c r="AA428" s="132"/>
      <c r="AB428" s="132"/>
      <c r="AC428" s="132"/>
    </row>
    <row r="429" spans="1:29">
      <c r="A429" s="552"/>
      <c r="B429" s="132"/>
      <c r="G429" s="132"/>
      <c r="I429" s="132"/>
      <c r="P429" s="132"/>
      <c r="Q429" s="132"/>
      <c r="T429" s="132"/>
      <c r="U429" s="132"/>
      <c r="Z429" s="132"/>
      <c r="AA429" s="132"/>
      <c r="AB429" s="132"/>
      <c r="AC429" s="132"/>
    </row>
    <row r="430" spans="1:29">
      <c r="A430" s="552"/>
      <c r="B430" s="132"/>
      <c r="G430" s="132"/>
      <c r="I430" s="132"/>
      <c r="P430" s="132"/>
      <c r="Q430" s="132"/>
      <c r="T430" s="132"/>
      <c r="U430" s="132"/>
      <c r="Z430" s="132"/>
      <c r="AA430" s="132"/>
      <c r="AB430" s="132"/>
      <c r="AC430" s="132"/>
    </row>
    <row r="431" spans="1:29">
      <c r="A431" s="552"/>
      <c r="B431" s="132"/>
      <c r="G431" s="132"/>
      <c r="I431" s="132"/>
      <c r="P431" s="132"/>
      <c r="Q431" s="132"/>
      <c r="T431" s="132"/>
      <c r="U431" s="132"/>
      <c r="Z431" s="132"/>
      <c r="AA431" s="132"/>
      <c r="AB431" s="132"/>
      <c r="AC431" s="132"/>
    </row>
    <row r="432" spans="1:29">
      <c r="A432" s="552"/>
      <c r="B432" s="132"/>
      <c r="G432" s="132"/>
      <c r="I432" s="132"/>
      <c r="P432" s="132"/>
      <c r="Q432" s="132"/>
      <c r="T432" s="132"/>
      <c r="U432" s="132"/>
      <c r="Z432" s="132"/>
      <c r="AA432" s="132"/>
      <c r="AB432" s="132"/>
      <c r="AC432" s="132"/>
    </row>
    <row r="433" spans="1:29">
      <c r="A433" s="552"/>
      <c r="B433" s="132"/>
      <c r="G433" s="132"/>
      <c r="I433" s="132"/>
      <c r="P433" s="132"/>
      <c r="Q433" s="132"/>
      <c r="T433" s="132"/>
      <c r="U433" s="132"/>
      <c r="Z433" s="132"/>
      <c r="AA433" s="132"/>
      <c r="AB433" s="132"/>
      <c r="AC433" s="132"/>
    </row>
    <row r="434" spans="1:29">
      <c r="A434" s="552"/>
      <c r="B434" s="132"/>
      <c r="G434" s="132"/>
      <c r="I434" s="132"/>
      <c r="P434" s="132"/>
      <c r="Q434" s="132"/>
      <c r="T434" s="132"/>
      <c r="U434" s="132"/>
      <c r="Z434" s="132"/>
      <c r="AA434" s="132"/>
      <c r="AB434" s="132"/>
      <c r="AC434" s="132"/>
    </row>
    <row r="435" spans="1:29">
      <c r="A435" s="552"/>
      <c r="B435" s="132"/>
      <c r="G435" s="132"/>
      <c r="I435" s="132"/>
      <c r="P435" s="132"/>
      <c r="Q435" s="132"/>
      <c r="T435" s="132"/>
      <c r="U435" s="132"/>
      <c r="Z435" s="132"/>
      <c r="AA435" s="132"/>
      <c r="AB435" s="132"/>
      <c r="AC435" s="132"/>
    </row>
    <row r="436" spans="1:29">
      <c r="A436" s="552"/>
      <c r="B436" s="132"/>
      <c r="G436" s="132"/>
      <c r="I436" s="132"/>
      <c r="P436" s="132"/>
      <c r="Q436" s="132"/>
      <c r="T436" s="132"/>
      <c r="U436" s="132"/>
      <c r="Z436" s="132"/>
      <c r="AA436" s="132"/>
      <c r="AB436" s="132"/>
      <c r="AC436" s="132"/>
    </row>
    <row r="437" spans="1:29">
      <c r="A437" s="552"/>
      <c r="B437" s="132"/>
      <c r="G437" s="132"/>
      <c r="I437" s="132"/>
      <c r="P437" s="132"/>
      <c r="Q437" s="132"/>
      <c r="T437" s="132"/>
      <c r="U437" s="132"/>
      <c r="Z437" s="132"/>
      <c r="AA437" s="132"/>
      <c r="AB437" s="132"/>
      <c r="AC437" s="132"/>
    </row>
    <row r="438" spans="1:29">
      <c r="A438" s="552"/>
      <c r="B438" s="132"/>
      <c r="G438" s="132"/>
      <c r="I438" s="132"/>
      <c r="P438" s="132"/>
      <c r="Q438" s="132"/>
      <c r="T438" s="132"/>
      <c r="U438" s="132"/>
      <c r="Z438" s="132"/>
      <c r="AA438" s="132"/>
      <c r="AB438" s="132"/>
      <c r="AC438" s="132"/>
    </row>
    <row r="439" spans="1:29">
      <c r="A439" s="552"/>
      <c r="B439" s="132"/>
      <c r="G439" s="132"/>
      <c r="I439" s="132"/>
      <c r="P439" s="132"/>
      <c r="Q439" s="132"/>
      <c r="T439" s="132"/>
      <c r="U439" s="132"/>
      <c r="Z439" s="132"/>
      <c r="AA439" s="132"/>
      <c r="AB439" s="132"/>
      <c r="AC439" s="132"/>
    </row>
    <row r="440" spans="1:29">
      <c r="A440" s="552"/>
      <c r="B440" s="132"/>
      <c r="G440" s="132"/>
      <c r="I440" s="132"/>
      <c r="P440" s="132"/>
      <c r="Q440" s="132"/>
      <c r="T440" s="132"/>
      <c r="U440" s="132"/>
      <c r="Z440" s="132"/>
      <c r="AA440" s="132"/>
      <c r="AB440" s="132"/>
      <c r="AC440" s="132"/>
    </row>
    <row r="441" spans="1:29">
      <c r="A441" s="552"/>
      <c r="B441" s="132"/>
      <c r="G441" s="132"/>
      <c r="I441" s="132"/>
      <c r="P441" s="132"/>
      <c r="Q441" s="132"/>
      <c r="T441" s="132"/>
      <c r="U441" s="132"/>
      <c r="Z441" s="132"/>
      <c r="AA441" s="132"/>
      <c r="AB441" s="132"/>
      <c r="AC441" s="132"/>
    </row>
    <row r="442" spans="1:29">
      <c r="A442" s="552"/>
      <c r="B442" s="132"/>
      <c r="G442" s="132"/>
      <c r="I442" s="132"/>
      <c r="P442" s="132"/>
      <c r="Q442" s="132"/>
      <c r="T442" s="132"/>
      <c r="U442" s="132"/>
      <c r="Z442" s="132"/>
      <c r="AA442" s="132"/>
      <c r="AB442" s="132"/>
      <c r="AC442" s="132"/>
    </row>
    <row r="443" spans="1:29">
      <c r="A443" s="552"/>
      <c r="B443" s="132"/>
      <c r="G443" s="132"/>
      <c r="I443" s="132"/>
      <c r="P443" s="132"/>
      <c r="Q443" s="132"/>
      <c r="T443" s="132"/>
      <c r="U443" s="132"/>
      <c r="Z443" s="132"/>
      <c r="AA443" s="132"/>
      <c r="AB443" s="132"/>
      <c r="AC443" s="132"/>
    </row>
    <row r="444" spans="1:29">
      <c r="A444" s="552"/>
      <c r="B444" s="132"/>
      <c r="G444" s="132"/>
      <c r="I444" s="132"/>
      <c r="P444" s="132"/>
      <c r="Q444" s="132"/>
      <c r="T444" s="132"/>
      <c r="U444" s="132"/>
      <c r="Z444" s="132"/>
      <c r="AA444" s="132"/>
      <c r="AB444" s="132"/>
      <c r="AC444" s="132"/>
    </row>
    <row r="445" spans="1:29">
      <c r="A445" s="552"/>
      <c r="B445" s="132"/>
      <c r="G445" s="132"/>
      <c r="I445" s="132"/>
      <c r="P445" s="132"/>
      <c r="Q445" s="132"/>
      <c r="T445" s="132"/>
      <c r="U445" s="132"/>
      <c r="Z445" s="132"/>
      <c r="AA445" s="132"/>
      <c r="AB445" s="132"/>
      <c r="AC445" s="132"/>
    </row>
    <row r="446" spans="1:29">
      <c r="A446" s="552"/>
      <c r="B446" s="132"/>
      <c r="G446" s="132"/>
      <c r="I446" s="132"/>
      <c r="P446" s="132"/>
      <c r="Q446" s="132"/>
      <c r="T446" s="132"/>
      <c r="U446" s="132"/>
      <c r="Z446" s="132"/>
      <c r="AA446" s="132"/>
      <c r="AB446" s="132"/>
      <c r="AC446" s="132"/>
    </row>
    <row r="447" spans="1:29">
      <c r="A447" s="552"/>
      <c r="B447" s="132"/>
      <c r="G447" s="132"/>
      <c r="I447" s="132"/>
      <c r="P447" s="132"/>
      <c r="Q447" s="132"/>
      <c r="T447" s="132"/>
      <c r="U447" s="132"/>
      <c r="Z447" s="132"/>
      <c r="AA447" s="132"/>
      <c r="AB447" s="132"/>
      <c r="AC447" s="132"/>
    </row>
    <row r="448" spans="1:29">
      <c r="A448" s="552"/>
      <c r="B448" s="132"/>
      <c r="G448" s="132"/>
      <c r="I448" s="132"/>
      <c r="P448" s="132"/>
      <c r="Q448" s="132"/>
      <c r="T448" s="132"/>
      <c r="U448" s="132"/>
      <c r="Z448" s="132"/>
      <c r="AA448" s="132"/>
      <c r="AB448" s="132"/>
      <c r="AC448" s="132"/>
    </row>
    <row r="449" spans="1:29">
      <c r="A449" s="552"/>
      <c r="B449" s="132"/>
      <c r="G449" s="132"/>
      <c r="I449" s="132"/>
      <c r="P449" s="132"/>
      <c r="Q449" s="132"/>
      <c r="T449" s="132"/>
      <c r="U449" s="132"/>
      <c r="Z449" s="132"/>
      <c r="AA449" s="132"/>
      <c r="AB449" s="132"/>
      <c r="AC449" s="132"/>
    </row>
    <row r="450" spans="1:29">
      <c r="A450" s="552"/>
      <c r="B450" s="132"/>
      <c r="G450" s="132"/>
      <c r="I450" s="132"/>
      <c r="P450" s="132"/>
      <c r="Q450" s="132"/>
      <c r="T450" s="132"/>
      <c r="U450" s="132"/>
      <c r="Z450" s="132"/>
      <c r="AA450" s="132"/>
      <c r="AB450" s="132"/>
      <c r="AC450" s="132"/>
    </row>
    <row r="451" spans="1:29">
      <c r="A451" s="552"/>
      <c r="B451" s="132"/>
      <c r="G451" s="132"/>
      <c r="I451" s="132"/>
      <c r="P451" s="132"/>
      <c r="Q451" s="132"/>
      <c r="T451" s="132"/>
      <c r="U451" s="132"/>
      <c r="Z451" s="132"/>
      <c r="AA451" s="132"/>
      <c r="AB451" s="132"/>
      <c r="AC451" s="132"/>
    </row>
    <row r="452" spans="1:29">
      <c r="A452" s="552"/>
      <c r="B452" s="132"/>
      <c r="G452" s="132"/>
      <c r="I452" s="132"/>
      <c r="P452" s="132"/>
      <c r="Q452" s="132"/>
      <c r="T452" s="132"/>
      <c r="U452" s="132"/>
      <c r="Z452" s="132"/>
      <c r="AA452" s="132"/>
      <c r="AB452" s="132"/>
      <c r="AC452" s="132"/>
    </row>
    <row r="453" spans="1:29">
      <c r="A453" s="552"/>
      <c r="B453" s="132"/>
      <c r="G453" s="132"/>
      <c r="I453" s="132"/>
      <c r="P453" s="132"/>
      <c r="Q453" s="132"/>
      <c r="T453" s="132"/>
      <c r="U453" s="132"/>
      <c r="Z453" s="132"/>
      <c r="AA453" s="132"/>
      <c r="AB453" s="132"/>
      <c r="AC453" s="132"/>
    </row>
    <row r="454" spans="1:29">
      <c r="A454" s="552"/>
      <c r="B454" s="132"/>
      <c r="G454" s="132"/>
      <c r="I454" s="132"/>
      <c r="P454" s="132"/>
      <c r="Q454" s="132"/>
      <c r="T454" s="132"/>
      <c r="U454" s="132"/>
      <c r="Z454" s="132"/>
      <c r="AA454" s="132"/>
      <c r="AB454" s="132"/>
      <c r="AC454" s="132"/>
    </row>
    <row r="455" spans="1:29">
      <c r="A455" s="552"/>
      <c r="B455" s="132"/>
      <c r="G455" s="132"/>
      <c r="I455" s="132"/>
      <c r="P455" s="132"/>
      <c r="Q455" s="132"/>
      <c r="T455" s="132"/>
      <c r="U455" s="132"/>
      <c r="Z455" s="132"/>
      <c r="AA455" s="132"/>
      <c r="AB455" s="132"/>
      <c r="AC455" s="132"/>
    </row>
    <row r="456" spans="1:29">
      <c r="A456" s="552"/>
      <c r="B456" s="132"/>
      <c r="G456" s="132"/>
      <c r="I456" s="132"/>
      <c r="P456" s="132"/>
      <c r="Q456" s="132"/>
      <c r="T456" s="132"/>
      <c r="U456" s="132"/>
      <c r="Z456" s="132"/>
      <c r="AA456" s="132"/>
      <c r="AB456" s="132"/>
      <c r="AC456" s="132"/>
    </row>
  </sheetData>
  <mergeCells count="3">
    <mergeCell ref="B12:L12"/>
    <mergeCell ref="B11:O11"/>
    <mergeCell ref="D23:F23"/>
  </mergeCells>
  <printOptions horizontalCentered="1"/>
  <pageMargins left="0.51181102362204722" right="0.31496062992125984" top="0.55118110236220474" bottom="0.35433070866141736" header="0.31496062992125984" footer="0.31496062992125984"/>
  <pageSetup paperSize="14" scale="40" orientation="portrait" horizontalDpi="4294967292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2:R152"/>
  <sheetViews>
    <sheetView topLeftCell="A108" workbookViewId="0">
      <selection activeCell="H153" sqref="H151:H153"/>
    </sheetView>
  </sheetViews>
  <sheetFormatPr defaultColWidth="9.140625" defaultRowHeight="15" customHeight="1"/>
  <cols>
    <col min="1" max="1" width="5.42578125" style="290" customWidth="1"/>
    <col min="2" max="2" width="5.42578125" style="897" customWidth="1"/>
    <col min="3" max="3" width="11.85546875" style="290" customWidth="1"/>
    <col min="4" max="4" width="22.5703125" style="290" customWidth="1"/>
    <col min="5" max="5" width="31.28515625" style="290" customWidth="1"/>
    <col min="6" max="6" width="14.85546875" style="290" customWidth="1"/>
    <col min="7" max="7" width="15.140625" style="290" customWidth="1"/>
    <col min="8" max="8" width="8.28515625" style="290" customWidth="1"/>
    <col min="9" max="9" width="11.85546875" style="290" customWidth="1"/>
    <col min="10" max="10" width="17.140625" style="290" customWidth="1"/>
    <col min="11" max="11" width="10.140625" style="290" customWidth="1"/>
    <col min="12" max="12" width="9.140625" style="290"/>
    <col min="13" max="13" width="13.5703125" style="897" bestFit="1" customWidth="1"/>
    <col min="14" max="14" width="13.28515625" style="290" customWidth="1"/>
    <col min="15" max="17" width="9.140625" style="290"/>
    <col min="18" max="18" width="11" style="290" bestFit="1" customWidth="1"/>
    <col min="19" max="16384" width="9.140625" style="290"/>
  </cols>
  <sheetData>
    <row r="2" spans="2:14" ht="24.75" customHeight="1">
      <c r="B2" s="964" t="s">
        <v>192</v>
      </c>
      <c r="C2" s="964"/>
      <c r="D2" s="964"/>
      <c r="E2" s="964"/>
      <c r="F2" s="964"/>
      <c r="G2" s="964"/>
      <c r="H2" s="964"/>
      <c r="I2" s="964"/>
      <c r="J2" s="964"/>
      <c r="K2" s="964"/>
    </row>
    <row r="4" spans="2:14" ht="15" customHeight="1">
      <c r="B4" s="897" t="str">
        <f>'UPH-TNG'!B4</f>
        <v>PEKERJAAN</v>
      </c>
      <c r="D4" s="897" t="str">
        <f>'UPH-TNG'!E4</f>
        <v>:</v>
      </c>
      <c r="E4" s="897" t="str">
        <f>RAB!F13</f>
        <v>BELANJA MODAL BANGUNAN TEMPAT IBADAH</v>
      </c>
    </row>
    <row r="5" spans="2:14" ht="15" customHeight="1">
      <c r="B5" s="897" t="str">
        <f>'UPH-TNG'!B5</f>
        <v>L O K A S I</v>
      </c>
      <c r="D5" s="897" t="str">
        <f>'UPH-TNG'!E5</f>
        <v>:</v>
      </c>
      <c r="E5" s="897" t="str">
        <f>RAB!F14</f>
        <v>KECAMATAN JATEN</v>
      </c>
    </row>
    <row r="6" spans="2:14" ht="15" customHeight="1">
      <c r="B6" s="897" t="str">
        <f>'UPH-TNG'!B6</f>
        <v>KABUPATEN</v>
      </c>
      <c r="D6" s="897" t="str">
        <f>'UPH-TNG'!E6</f>
        <v>:</v>
      </c>
      <c r="E6" s="897" t="str">
        <f>RAB!F15</f>
        <v>KARANGANYAR</v>
      </c>
    </row>
    <row r="7" spans="2:14" ht="15" customHeight="1">
      <c r="B7" s="897" t="str">
        <f>'UPH-TNG'!B7</f>
        <v>SUMBER DANA</v>
      </c>
      <c r="D7" s="897" t="str">
        <f>'UPH-TNG'!E7</f>
        <v>:</v>
      </c>
      <c r="E7" s="897" t="str">
        <f>RAB!F16</f>
        <v>DANA ALOKASI UMUM (DAU)</v>
      </c>
    </row>
    <row r="8" spans="2:14" ht="15" customHeight="1">
      <c r="B8" s="897" t="str">
        <f>'UPH-TNG'!B8</f>
        <v>TAHUN ANGGARAN</v>
      </c>
      <c r="D8" s="897" t="str">
        <f>'UPH-TNG'!E8</f>
        <v>:</v>
      </c>
      <c r="E8" s="898">
        <f>RAB!F17</f>
        <v>2025</v>
      </c>
    </row>
    <row r="9" spans="2:14" ht="15" customHeight="1" thickBot="1"/>
    <row r="10" spans="2:14" s="903" customFormat="1" ht="24.95" customHeight="1" thickBot="1">
      <c r="B10" s="899" t="s">
        <v>120</v>
      </c>
      <c r="C10" s="961" t="s">
        <v>121</v>
      </c>
      <c r="D10" s="962"/>
      <c r="E10" s="963"/>
      <c r="F10" s="900" t="s">
        <v>308</v>
      </c>
      <c r="G10" s="900" t="s">
        <v>309</v>
      </c>
      <c r="H10" s="900" t="s">
        <v>310</v>
      </c>
      <c r="I10" s="900" t="s">
        <v>420</v>
      </c>
      <c r="J10" s="901" t="s">
        <v>424</v>
      </c>
      <c r="K10" s="902" t="s">
        <v>145</v>
      </c>
      <c r="M10" s="904"/>
    </row>
    <row r="11" spans="2:14" s="912" customFormat="1" ht="15" customHeight="1">
      <c r="B11" s="905"/>
      <c r="C11" s="906"/>
      <c r="D11" s="907"/>
      <c r="E11" s="908"/>
      <c r="F11" s="909"/>
      <c r="G11" s="910"/>
      <c r="H11" s="909"/>
      <c r="I11" s="909"/>
      <c r="J11" s="909"/>
      <c r="K11" s="911"/>
      <c r="M11" s="913"/>
    </row>
    <row r="12" spans="2:14" s="912" customFormat="1" ht="15" customHeight="1">
      <c r="B12" s="934">
        <f>ANALISA!B17</f>
        <v>1</v>
      </c>
      <c r="C12" s="915" t="str">
        <f>VLOOKUP($B12,ANALISA!$B$17:$V$2003,3,0)</f>
        <v xml:space="preserve">Pengukuran dan pemasangan bouwplank  </v>
      </c>
      <c r="D12" s="916"/>
      <c r="E12" s="917"/>
      <c r="F12" s="918" t="str">
        <f>VLOOKUP($B12,ANALISA!$B$17:$V$2003,10,0)</f>
        <v>A.2.2.1.4.</v>
      </c>
      <c r="G12" s="919">
        <f>VLOOKUP($B12,ANALISA!$B$17:$V$2003,15,0)</f>
        <v>66926.720000000001</v>
      </c>
      <c r="H12" s="918" t="str">
        <f>VLOOKUP($B12,ANALISA!$B$17:$V$2003,14,0)</f>
        <v>m'</v>
      </c>
      <c r="I12" s="920">
        <f>VLOOKUP($B12,ANALISA!$B$17:$V$2000,16,0)</f>
        <v>0.83152319432358257</v>
      </c>
      <c r="J12" s="919">
        <f>VLOOKUP($B12,ANALISA!$B$17:$V$2000,18,0)</f>
        <v>0</v>
      </c>
      <c r="K12" s="921"/>
      <c r="M12" s="922"/>
      <c r="N12" s="923"/>
    </row>
    <row r="13" spans="2:14" s="912" customFormat="1" ht="15" hidden="1" customHeight="1">
      <c r="B13" s="934">
        <f>ANALISA!B37</f>
        <v>2</v>
      </c>
      <c r="C13" s="915" t="str">
        <f>VLOOKUP($B13,ANALISA!$B$17:$V$2003,3,0)</f>
        <v>Penggalian 1 m3 Tanah Biasa sedalam s.d.2 m</v>
      </c>
      <c r="D13" s="916"/>
      <c r="E13" s="917"/>
      <c r="F13" s="918" t="str">
        <f>VLOOKUP($B13,ANALISA!$B$17:$V$2003,10,0)</f>
        <v>A.1.5.1.2.</v>
      </c>
      <c r="G13" s="919">
        <f>VLOOKUP($B13,ANALISA!$B$17:$V$2003,15,0)</f>
        <v>97675.199999999997</v>
      </c>
      <c r="H13" s="918" t="str">
        <f>VLOOKUP($B13,ANALISA!$B$17:$V$2003,14,0)</f>
        <v>m3</v>
      </c>
      <c r="I13" s="920">
        <f>VLOOKUP($B13,ANALISA!$B$17:$V$2000,16,0)</f>
        <v>1</v>
      </c>
      <c r="J13" s="919">
        <f>VLOOKUP($B13,ANALISA!$B$17:$V$2000,18,0)</f>
        <v>0</v>
      </c>
      <c r="K13" s="921"/>
      <c r="M13" s="922"/>
      <c r="N13" s="923"/>
    </row>
    <row r="14" spans="2:14" s="912" customFormat="1" ht="15" hidden="1" customHeight="1">
      <c r="B14" s="934">
        <f>ANALISA!B51</f>
        <v>3</v>
      </c>
      <c r="C14" s="915" t="str">
        <f>VLOOKUP($B14,ANALISA!$B$17:$V$2003,3,0)</f>
        <v>Pemadatan tanah 1 m3 per 20 cm dengan alat trimbis</v>
      </c>
      <c r="D14" s="916"/>
      <c r="E14" s="917"/>
      <c r="F14" s="918" t="str">
        <f>VLOOKUP($B14,ANALISA!$B$17:$V$2003,10,0)</f>
        <v>A.1.5.1.9.</v>
      </c>
      <c r="G14" s="919">
        <f>VLOOKUP($B14,ANALISA!$B$17:$V$2003,15,0)</f>
        <v>57008</v>
      </c>
      <c r="H14" s="918" t="str">
        <f>VLOOKUP($B14,ANALISA!$B$17:$V$2003,14,0)</f>
        <v>m3</v>
      </c>
      <c r="I14" s="920">
        <f>VLOOKUP($B14,ANALISA!$B$17:$V$2000,16,0)</f>
        <v>1</v>
      </c>
      <c r="J14" s="919">
        <f>VLOOKUP($B14,ANALISA!$B$17:$V$2000,18,0)</f>
        <v>0</v>
      </c>
      <c r="K14" s="921"/>
      <c r="M14" s="922"/>
      <c r="N14" s="923"/>
    </row>
    <row r="15" spans="2:14" s="912" customFormat="1" ht="15" hidden="1" customHeight="1">
      <c r="B15" s="934">
        <f>ANALISA!B65</f>
        <v>4</v>
      </c>
      <c r="C15" s="915" t="str">
        <f>VLOOKUP($B15,ANALISA!$B$17:$V$2003,3,0)</f>
        <v>Memasang lapisan ijuk tebal 10 cm untuk bidang resapan</v>
      </c>
      <c r="D15" s="916"/>
      <c r="E15" s="917"/>
      <c r="F15" s="918" t="str">
        <f>VLOOKUP($B15,ANALISA!$B$17:$V$2003,10,0)</f>
        <v>A.1.5.1.13.</v>
      </c>
      <c r="G15" s="919">
        <f>VLOOKUP($B15,ANALISA!$B$17:$V$2003,15,0)</f>
        <v>115214.39999999999</v>
      </c>
      <c r="H15" s="918" t="str">
        <f>VLOOKUP($B15,ANALISA!$B$17:$V$2003,14,0)</f>
        <v>m2</v>
      </c>
      <c r="I15" s="920">
        <f>VLOOKUP($B15,ANALISA!$B$17:$V$2000,16,0)</f>
        <v>1</v>
      </c>
      <c r="J15" s="919">
        <f>VLOOKUP($B15,ANALISA!$B$17:$V$2000,18,0)</f>
        <v>0</v>
      </c>
      <c r="K15" s="921"/>
      <c r="M15" s="922"/>
      <c r="N15" s="923"/>
    </row>
    <row r="16" spans="2:14" s="912" customFormat="1" ht="15" customHeight="1">
      <c r="B16" s="934">
        <f>ANALISA!B81</f>
        <v>5</v>
      </c>
      <c r="C16" s="915" t="str">
        <f>VLOOKUP($B16,ANALISA!$B$17:$V$2003,3,0)</f>
        <v xml:space="preserve">Penggalian 1 m3 Tanah Biasa </v>
      </c>
      <c r="D16" s="916"/>
      <c r="E16" s="917"/>
      <c r="F16" s="918" t="str">
        <f>VLOOKUP($B16,ANALISA!$B$17:$V$2003,10,0)</f>
        <v>A.1.5.1.2.</v>
      </c>
      <c r="G16" s="919">
        <f>VLOOKUP($B16,ANALISA!$B$17:$V$2003,15,0)</f>
        <v>80024</v>
      </c>
      <c r="H16" s="918" t="str">
        <f>VLOOKUP($B16,ANALISA!$B$17:$V$2003,14,0)</f>
        <v>m3</v>
      </c>
      <c r="I16" s="920">
        <f>VLOOKUP($B16,ANALISA!$B$17:$V$2000,16,0)</f>
        <v>1</v>
      </c>
      <c r="J16" s="919">
        <f>VLOOKUP($B16,ANALISA!$B$17:$V$2000,18,0)</f>
        <v>0</v>
      </c>
      <c r="K16" s="921"/>
      <c r="M16" s="922"/>
      <c r="N16" s="923"/>
    </row>
    <row r="17" spans="2:14" s="912" customFormat="1" ht="15" hidden="1" customHeight="1">
      <c r="B17" s="934">
        <f>ANALISA!B95</f>
        <v>6</v>
      </c>
      <c r="C17" s="915" t="str">
        <f>VLOOKUP($B17,ANALISA!$B$17:$V$2003,3,0)</f>
        <v>Pengurugan dan Pemadatan 1 m3 Sirtu (Lokal)</v>
      </c>
      <c r="D17" s="916"/>
      <c r="E17" s="917"/>
      <c r="F17" s="918" t="str">
        <f>VLOOKUP($B17,ANALISA!$B$17:$V$2003,10,0)</f>
        <v>A.1.5.1.14.</v>
      </c>
      <c r="G17" s="919">
        <f>VLOOKUP($B17,ANALISA!$B$17:$V$2003,15,0)</f>
        <v>338968</v>
      </c>
      <c r="H17" s="918" t="str">
        <f>VLOOKUP($B17,ANALISA!$B$17:$V$2003,14,0)</f>
        <v>m3</v>
      </c>
      <c r="I17" s="920">
        <f>VLOOKUP($B17,ANALISA!$B$17:$V$2000,16,0)</f>
        <v>1</v>
      </c>
      <c r="J17" s="919">
        <f>VLOOKUP($B17,ANALISA!$B$17:$V$2000,18,0)</f>
        <v>0</v>
      </c>
      <c r="K17" s="921"/>
      <c r="M17" s="922"/>
      <c r="N17" s="923"/>
    </row>
    <row r="18" spans="2:14" s="912" customFormat="1" ht="15" customHeight="1">
      <c r="B18" s="934">
        <f>ANALISA!B111</f>
        <v>7</v>
      </c>
      <c r="C18" s="915" t="str">
        <f>VLOOKUP($B18,ANALISA!$B$17:$V$2003,3,0)</f>
        <v>Pengurugan Kembali 1 m3 Galian Tanah</v>
      </c>
      <c r="D18" s="916"/>
      <c r="E18" s="917"/>
      <c r="F18" s="918" t="str">
        <f>VLOOKUP($B18,ANALISA!$B$17:$V$2003,10,0)</f>
        <v>A.1.5.1.15.</v>
      </c>
      <c r="G18" s="919">
        <f>VLOOKUP($B18,ANALISA!$B$17:$V$2003,15,0)</f>
        <v>57008</v>
      </c>
      <c r="H18" s="918" t="str">
        <f>VLOOKUP($B18,ANALISA!$B$17:$V$2003,14,0)</f>
        <v>m3</v>
      </c>
      <c r="I18" s="920">
        <f>VLOOKUP($B18,ANALISA!$B$17:$V$2000,16,0)</f>
        <v>1</v>
      </c>
      <c r="J18" s="919">
        <f>VLOOKUP($B18,ANALISA!$B$17:$V$2000,18,0)</f>
        <v>0</v>
      </c>
      <c r="K18" s="921"/>
      <c r="M18" s="922"/>
      <c r="N18" s="923"/>
    </row>
    <row r="19" spans="2:14" s="912" customFormat="1" ht="15" customHeight="1">
      <c r="B19" s="934">
        <f>ANALISA!B125</f>
        <v>8</v>
      </c>
      <c r="C19" s="915" t="str">
        <f>VLOOKUP($B19,ANALISA!$B$17:$V$2003,3,0)</f>
        <v>Urug tanah padat (Tanah cadas)</v>
      </c>
      <c r="D19" s="916"/>
      <c r="E19" s="917"/>
      <c r="F19" s="918" t="str">
        <f>VLOOKUP($B19,ANALISA!$B$17:$V$2003,10,0)</f>
        <v>An. Dihitung</v>
      </c>
      <c r="G19" s="919">
        <f>VLOOKUP($B19,ANALISA!$B$17:$V$2003,15,0)</f>
        <v>93833.600000000006</v>
      </c>
      <c r="H19" s="918" t="str">
        <f>VLOOKUP($B19,ANALISA!$B$17:$V$2003,14,0)</f>
        <v>m3</v>
      </c>
      <c r="I19" s="920">
        <f>VLOOKUP($B19,ANALISA!$B$17:$V$2000,16,0)</f>
        <v>1</v>
      </c>
      <c r="J19" s="919">
        <f>VLOOKUP($B19,ANALISA!$B$17:$V$2000,18,0)</f>
        <v>0</v>
      </c>
      <c r="K19" s="921"/>
      <c r="M19" s="922"/>
      <c r="N19" s="923"/>
    </row>
    <row r="20" spans="2:14" s="912" customFormat="1" ht="15" customHeight="1">
      <c r="B20" s="934">
        <f>ANALISA!B141</f>
        <v>9</v>
      </c>
      <c r="C20" s="915" t="str">
        <f>VLOOKUP($B20,ANALISA!$B$17:$V$2003,3,0)</f>
        <v>Pengurugan 1 m3 dengan Pasir Urug</v>
      </c>
      <c r="D20" s="916"/>
      <c r="E20" s="917"/>
      <c r="F20" s="918" t="str">
        <f>VLOOKUP($B20,ANALISA!$B$17:$V$2003,10,0)</f>
        <v>A.1.5.1.10.</v>
      </c>
      <c r="G20" s="919">
        <f>VLOOKUP($B20,ANALISA!$B$17:$V$2003,15,0)</f>
        <v>261833.60000000001</v>
      </c>
      <c r="H20" s="918" t="str">
        <f>VLOOKUP($B20,ANALISA!$B$17:$V$2003,14,0)</f>
        <v>m3</v>
      </c>
      <c r="I20" s="920">
        <f>VLOOKUP($B20,ANALISA!$B$17:$V$2000,16,0)</f>
        <v>1</v>
      </c>
      <c r="J20" s="919">
        <f>VLOOKUP($B20,ANALISA!$B$17:$V$2000,18,0)</f>
        <v>0</v>
      </c>
      <c r="K20" s="921"/>
      <c r="M20" s="922"/>
      <c r="N20" s="923"/>
    </row>
    <row r="21" spans="2:14" s="912" customFormat="1" ht="15" customHeight="1">
      <c r="B21" s="934">
        <f>ANALISA!B157</f>
        <v>10</v>
      </c>
      <c r="C21" s="915" t="str">
        <f>VLOOKUP($B21,ANALISA!$B$17:$V$2003,3,0)</f>
        <v>Memasang pondasi batu belah, campuran 1 PC : 8 PP</v>
      </c>
      <c r="D21" s="916"/>
      <c r="E21" s="917"/>
      <c r="F21" s="918" t="str">
        <f>VLOOKUP($B21,ANALISA!$B$17:$V$2003,10,0)</f>
        <v>A.3.2.1.5.</v>
      </c>
      <c r="G21" s="919">
        <f>VLOOKUP($B21,ANALISA!$B$17:$V$2003,15,0)</f>
        <v>956026.4</v>
      </c>
      <c r="H21" s="918" t="str">
        <f>VLOOKUP($B21,ANALISA!$B$17:$V$2003,14,0)</f>
        <v>m3</v>
      </c>
      <c r="I21" s="920">
        <f>VLOOKUP($B21,ANALISA!$B$17:$V$2000,16,0)</f>
        <v>0.98616042444016183</v>
      </c>
      <c r="J21" s="919">
        <f>VLOOKUP($B21,ANALISA!$B$17:$V$2000,18,0)</f>
        <v>0</v>
      </c>
      <c r="K21" s="921"/>
      <c r="M21" s="922"/>
      <c r="N21" s="923"/>
    </row>
    <row r="22" spans="2:14" s="912" customFormat="1" ht="15" hidden="1" customHeight="1">
      <c r="B22" s="934">
        <f>ANALISA!B177</f>
        <v>11</v>
      </c>
      <c r="C22" s="915" t="str">
        <f>VLOOKUP($B22,ANALISA!$B$17:$V$2003,3,0)</f>
        <v>Memasang batu kosong ( anstamping )</v>
      </c>
      <c r="D22" s="916"/>
      <c r="E22" s="917"/>
      <c r="F22" s="918" t="str">
        <f>VLOOKUP($B22,ANALISA!$B$17:$V$2003,10,0)</f>
        <v>A.3.2.1.9.</v>
      </c>
      <c r="G22" s="919">
        <f>VLOOKUP($B22,ANALISA!$B$17:$V$2003,15,0)</f>
        <v>576307.19999999995</v>
      </c>
      <c r="H22" s="918" t="str">
        <f>VLOOKUP($B22,ANALISA!$B$17:$V$2003,14,0)</f>
        <v>m3</v>
      </c>
      <c r="I22" s="920">
        <f>VLOOKUP($B22,ANALISA!$B$17:$V$2000,16,0)</f>
        <v>1</v>
      </c>
      <c r="J22" s="919">
        <f>VLOOKUP($B22,ANALISA!$B$17:$V$2000,18,0)</f>
        <v>0</v>
      </c>
      <c r="K22" s="921"/>
      <c r="M22" s="922"/>
      <c r="N22" s="923"/>
    </row>
    <row r="23" spans="2:14" s="912" customFormat="1" ht="15" hidden="1" customHeight="1">
      <c r="B23" s="934">
        <f>ANALISA!B197</f>
        <v>12</v>
      </c>
      <c r="C23" s="915" t="str">
        <f>VLOOKUP($B23,ANALISA!$B$17:$V$2003,3,0)</f>
        <v>Membuat dinding bata merah tebal 1 bata , camp 1 PC : 5 PP</v>
      </c>
      <c r="D23" s="916"/>
      <c r="E23" s="917"/>
      <c r="F23" s="918" t="str">
        <f>VLOOKUP($B23,ANALISA!$B$17:$V$2003,10,0)</f>
        <v>A.4.4.1.4.</v>
      </c>
      <c r="G23" s="919">
        <f>VLOOKUP($B23,ANALISA!$B$17:$V$2003,15,0)</f>
        <v>281584.8</v>
      </c>
      <c r="H23" s="918" t="str">
        <f>VLOOKUP($B23,ANALISA!$B$17:$V$2003,14,0)</f>
        <v>m2</v>
      </c>
      <c r="I23" s="920">
        <f>VLOOKUP($B23,ANALISA!$B$17:$V$2000,16,0)</f>
        <v>0.98853708609271529</v>
      </c>
      <c r="J23" s="919">
        <f>VLOOKUP($B23,ANALISA!$B$17:$V$2000,18,0)</f>
        <v>0</v>
      </c>
      <c r="K23" s="921"/>
      <c r="M23" s="922"/>
      <c r="N23" s="923"/>
    </row>
    <row r="24" spans="2:14" s="912" customFormat="1" ht="15" hidden="1" customHeight="1">
      <c r="B24" s="934">
        <f>ANALISA!B218</f>
        <v>13</v>
      </c>
      <c r="C24" s="915" t="str">
        <f>VLOOKUP($B24,ANALISA!$B$17:$V$2003,3,0)</f>
        <v>Membuat dinding bt. merah t: 1/2bata, camp 1PC:3PP</v>
      </c>
      <c r="D24" s="916"/>
      <c r="E24" s="917"/>
      <c r="F24" s="918" t="str">
        <f>VLOOKUP($B24,ANALISA!$B$17:$V$2003,10,0)</f>
        <v>A.4.4.1.8.</v>
      </c>
      <c r="G24" s="919">
        <f>VLOOKUP($B24,ANALISA!$B$17:$V$2003,15,0)</f>
        <v>142561.72</v>
      </c>
      <c r="H24" s="918" t="str">
        <f>VLOOKUP($B24,ANALISA!$B$17:$V$2003,14,0)</f>
        <v>m2</v>
      </c>
      <c r="I24" s="920">
        <f>VLOOKUP($B24,ANALISA!$B$17:$V$2000,16,0)</f>
        <v>0.98534434929657144</v>
      </c>
      <c r="J24" s="919">
        <f>VLOOKUP($B24,ANALISA!$B$17:$V$2000,18,0)</f>
        <v>0</v>
      </c>
      <c r="K24" s="921"/>
      <c r="M24" s="924"/>
      <c r="N24" s="923"/>
    </row>
    <row r="25" spans="2:14" s="912" customFormat="1" ht="15" customHeight="1">
      <c r="B25" s="934">
        <f>ANALISA!B238</f>
        <v>14</v>
      </c>
      <c r="C25" s="915" t="str">
        <f>VLOOKUP($B25,ANALISA!$B$17:$V$2003,3,0)</f>
        <v>Membuat dinding bt. merah t: 1/2bata, camp 1PC:8PP</v>
      </c>
      <c r="D25" s="916"/>
      <c r="E25" s="917"/>
      <c r="F25" s="918" t="str">
        <f>VLOOKUP($B25,ANALISA!$B$17:$V$2003,10,0)</f>
        <v>A.4.4.1.12.</v>
      </c>
      <c r="G25" s="919">
        <f>VLOOKUP($B25,ANALISA!$B$17:$V$2003,15,0)</f>
        <v>133137.20000000001</v>
      </c>
      <c r="H25" s="918" t="str">
        <f>VLOOKUP($B25,ANALISA!$B$17:$V$2003,14,0)</f>
        <v>m2</v>
      </c>
      <c r="I25" s="920">
        <f>VLOOKUP($B25,ANALISA!$B$17:$V$2000,16,0)</f>
        <v>0.99290152263980314</v>
      </c>
      <c r="J25" s="919">
        <f>VLOOKUP($B25,ANALISA!$B$17:$V$2000,18,0)</f>
        <v>0</v>
      </c>
      <c r="K25" s="921"/>
      <c r="M25" s="924"/>
      <c r="N25" s="923"/>
    </row>
    <row r="26" spans="2:14" s="912" customFormat="1" ht="15" hidden="1" customHeight="1">
      <c r="B26" s="934">
        <f>ANALISA!B258</f>
        <v>15</v>
      </c>
      <c r="C26" s="915" t="str">
        <f>VLOOKUP($B26,ANALISA!$B$17:$V$2003,3,0)</f>
        <v>Memasang plesteran 1 PC : 3 PP, tebal 15 mm</v>
      </c>
      <c r="D26" s="916"/>
      <c r="E26" s="917"/>
      <c r="F26" s="918" t="str">
        <f>VLOOKUP($B26,ANALISA!$B$17:$V$2003,10,0)</f>
        <v>A.4.4.2.3.</v>
      </c>
      <c r="G26" s="919">
        <f>VLOOKUP($B26,ANALISA!$B$17:$V$2003,15,0)</f>
        <v>69888.900000000009</v>
      </c>
      <c r="H26" s="918" t="str">
        <f>VLOOKUP($B26,ANALISA!$B$17:$V$2003,14,0)</f>
        <v>m2</v>
      </c>
      <c r="I26" s="920">
        <f>VLOOKUP($B26,ANALISA!$B$17:$V$2000,16,0)</f>
        <v>0.983822949705773</v>
      </c>
      <c r="J26" s="919">
        <f>VLOOKUP($B26,ANALISA!$B$17:$V$2000,18,0)</f>
        <v>0</v>
      </c>
      <c r="K26" s="921"/>
      <c r="M26" s="924"/>
      <c r="N26" s="923"/>
    </row>
    <row r="27" spans="2:14" s="912" customFormat="1" ht="15" customHeight="1">
      <c r="B27" s="934">
        <f>ANALISA!B277</f>
        <v>16</v>
      </c>
      <c r="C27" s="915" t="str">
        <f>VLOOKUP($B27,ANALISA!$B$17:$V$2003,3,0)</f>
        <v>Memasang plesteran 1 PC : 8 PP, tebal 15 mm</v>
      </c>
      <c r="D27" s="916"/>
      <c r="E27" s="917"/>
      <c r="F27" s="918" t="str">
        <f>VLOOKUP($B27,ANALISA!$B$17:$V$2003,10,0)</f>
        <v>A.4.4.2.8.</v>
      </c>
      <c r="G27" s="919">
        <f>VLOOKUP($B27,ANALISA!$B$17:$V$2003,15,0)</f>
        <v>64875.78</v>
      </c>
      <c r="H27" s="918" t="str">
        <f>VLOOKUP($B27,ANALISA!$B$17:$V$2003,14,0)</f>
        <v>m2</v>
      </c>
      <c r="I27" s="920">
        <f>VLOOKUP($B27,ANALISA!$B$17:$V$2000,16,0)</f>
        <v>0.99225462530729502</v>
      </c>
      <c r="J27" s="919">
        <f>VLOOKUP($B27,ANALISA!$B$17:$V$2000,18,0)</f>
        <v>0</v>
      </c>
      <c r="K27" s="921"/>
      <c r="M27" s="924"/>
      <c r="N27" s="923"/>
    </row>
    <row r="28" spans="2:14" s="912" customFormat="1" ht="15" customHeight="1">
      <c r="B28" s="934">
        <f>ANALISA!B297</f>
        <v>17</v>
      </c>
      <c r="C28" s="915" t="str">
        <f>VLOOKUP($B28,ANALISA!$B$17:$V$2003,3,0)</f>
        <v>Pemasangan 1 m2 Acian</v>
      </c>
      <c r="D28" s="916"/>
      <c r="E28" s="917"/>
      <c r="F28" s="918" t="str">
        <f>VLOOKUP($B28,ANALISA!$B$17:$V$2003,10,0)</f>
        <v>A.4.4.2.27.</v>
      </c>
      <c r="G28" s="919">
        <f>VLOOKUP($B28,ANALISA!$B$17:$V$2003,15,0)</f>
        <v>38697.4</v>
      </c>
      <c r="H28" s="918" t="str">
        <f>VLOOKUP($B28,ANALISA!$B$17:$V$2003,14,0)</f>
        <v>m2</v>
      </c>
      <c r="I28" s="920">
        <f>VLOOKUP($B28,ANALISA!$B$17:$V$2000,16,0)</f>
        <v>0.98778895481350171</v>
      </c>
      <c r="J28" s="919">
        <f>VLOOKUP($B28,ANALISA!$B$17:$V$2000,18,0)</f>
        <v>0</v>
      </c>
      <c r="K28" s="921"/>
      <c r="M28" s="924"/>
      <c r="N28" s="923"/>
    </row>
    <row r="29" spans="2:14" s="912" customFormat="1" ht="15" hidden="1" customHeight="1">
      <c r="B29" s="934">
        <f>ANALISA!B315</f>
        <v>18</v>
      </c>
      <c r="C29" s="915" t="str">
        <f>VLOOKUP($B29,ANALISA!$B$17:$V$2003,3,0)</f>
        <v>Pemasangan 1 m2 Acian dengan semen MU 200</v>
      </c>
      <c r="D29" s="916"/>
      <c r="E29" s="917"/>
      <c r="F29" s="918" t="str">
        <f>VLOOKUP($B29,ANALISA!$B$17:$V$2003,10,0)</f>
        <v>An. Dihitung</v>
      </c>
      <c r="G29" s="919">
        <f>VLOOKUP($B29,ANALISA!$B$17:$V$2003,15,0)</f>
        <v>50800.4</v>
      </c>
      <c r="H29" s="918" t="str">
        <f>VLOOKUP($B29,ANALISA!$B$17:$V$2003,14,0)</f>
        <v>m2</v>
      </c>
      <c r="I29" s="920">
        <f>VLOOKUP($B29,ANALISA!$B$17:$V$2000,16,0)</f>
        <v>0.96899396461445186</v>
      </c>
      <c r="J29" s="919">
        <f>VLOOKUP($B29,ANALISA!$B$17:$V$2000,18,0)</f>
        <v>0</v>
      </c>
      <c r="K29" s="921"/>
      <c r="M29" s="924"/>
      <c r="N29" s="923"/>
    </row>
    <row r="30" spans="2:14" s="912" customFormat="1" ht="15" hidden="1" customHeight="1">
      <c r="B30" s="934">
        <f>ANALISA!B333</f>
        <v>19</v>
      </c>
      <c r="C30" s="915" t="str">
        <f>VLOOKUP($B30,ANALISA!$B$17:$V$2003,3,0)</f>
        <v>Memasang lisplank woodplank</v>
      </c>
      <c r="D30" s="916"/>
      <c r="E30" s="917"/>
      <c r="F30" s="918" t="str">
        <f>VLOOKUP($B30,ANALISA!$B$17:$V$2003,10,0)</f>
        <v>An. Dihitung</v>
      </c>
      <c r="G30" s="919">
        <f>VLOOKUP($B30,ANALISA!$B$17:$V$2003,15,0)</f>
        <v>66483.199999999997</v>
      </c>
      <c r="H30" s="918" t="str">
        <f>VLOOKUP($B30,ANALISA!$B$17:$V$2003,14,0)</f>
        <v>m'</v>
      </c>
      <c r="I30" s="920">
        <f>VLOOKUP($B30,ANALISA!$B$17:$V$2000,16,0)</f>
        <v>0.52847035040431267</v>
      </c>
      <c r="J30" s="919">
        <f>VLOOKUP($B30,ANALISA!$B$17:$V$2000,18,0)</f>
        <v>0</v>
      </c>
      <c r="K30" s="921"/>
      <c r="M30" s="924"/>
      <c r="N30" s="923"/>
    </row>
    <row r="31" spans="2:14" s="912" customFormat="1" ht="15" customHeight="1">
      <c r="B31" s="934">
        <f>ANALISA!B352</f>
        <v>20</v>
      </c>
      <c r="C31" s="915" t="str">
        <f>VLOOKUP($B31,ANALISA!$B$17:$V$2003,3,0)</f>
        <v>Membuat lantai kerja beton mutu f'c = 7,4 Mpa slump (3-6) cm, w/c = 0,87</v>
      </c>
      <c r="D31" s="916"/>
      <c r="E31" s="917"/>
      <c r="F31" s="918" t="str">
        <f>VLOOKUP($B31,ANALISA!$B$17:$V$2003,10,0)</f>
        <v>A.4.1.1.4.</v>
      </c>
      <c r="G31" s="919">
        <f>VLOOKUP($B31,ANALISA!$B$17:$V$2003,15,0)</f>
        <v>1044137.92</v>
      </c>
      <c r="H31" s="918" t="str">
        <f>VLOOKUP($B31,ANALISA!$B$17:$V$2003,14,0)</f>
        <v>m3</v>
      </c>
      <c r="I31" s="920">
        <f>VLOOKUP($B31,ANALISA!$B$17:$V$2000,16,0)</f>
        <v>0.96560539320322747</v>
      </c>
      <c r="J31" s="919">
        <f>VLOOKUP($B31,ANALISA!$B$17:$V$2000,18,0)</f>
        <v>0</v>
      </c>
      <c r="K31" s="921"/>
      <c r="M31" s="924"/>
      <c r="N31" s="923"/>
    </row>
    <row r="32" spans="2:14" s="912" customFormat="1" ht="15" hidden="1" customHeight="1">
      <c r="B32" s="934">
        <f>ANALISA!B373</f>
        <v>21</v>
      </c>
      <c r="C32" s="915" t="str">
        <f>VLOOKUP($B32,ANALISA!$B$17:$V$2003,3,0)</f>
        <v>Pembuatan 1 m3 Beton Mutu  f'c = 21,7 Mpa (K.250)</v>
      </c>
      <c r="D32" s="916"/>
      <c r="E32" s="917"/>
      <c r="F32" s="918" t="str">
        <f>VLOOKUP($B32,ANALISA!$B$17:$V$2003,10,0)</f>
        <v>A.4.1.1.10.</v>
      </c>
      <c r="G32" s="919">
        <f>VLOOKUP($B32,ANALISA!$B$17:$V$2003,15,0)</f>
        <v>1232433.78</v>
      </c>
      <c r="H32" s="918" t="str">
        <f>VLOOKUP($B32,ANALISA!$B$17:$V$2003,14,0)</f>
        <v>m3</v>
      </c>
      <c r="I32" s="920">
        <f>VLOOKUP($B32,ANALISA!$B$17:$V$2000,16,0)</f>
        <v>0.95469784138730074</v>
      </c>
      <c r="J32" s="919">
        <f>VLOOKUP($B32,ANALISA!$B$17:$V$2000,18,0)</f>
        <v>0</v>
      </c>
      <c r="K32" s="921"/>
      <c r="M32" s="924"/>
      <c r="N32" s="923"/>
    </row>
    <row r="33" spans="2:14" s="912" customFormat="1" ht="15" customHeight="1">
      <c r="B33" s="934">
        <f>ANALISA!B394</f>
        <v>22</v>
      </c>
      <c r="C33" s="915" t="str">
        <f>VLOOKUP($B33,ANALISA!$B$17:$V$2003,3,0)</f>
        <v>Pembuatan 1 m3 Beton Mutu f'=14,5 Mpa (K175)</v>
      </c>
      <c r="D33" s="916"/>
      <c r="E33" s="917"/>
      <c r="F33" s="918" t="str">
        <f>VLOOKUP($B33,ANALISA!$B$17:$V$2003,10,0)</f>
        <v>A.4.1.1.5.</v>
      </c>
      <c r="G33" s="919">
        <f>VLOOKUP($B33,ANALISA!$B$17:$V$2003,15,0)</f>
        <v>1152774.81</v>
      </c>
      <c r="H33" s="918" t="str">
        <f>VLOOKUP($B33,ANALISA!$B$17:$V$2003,14,0)</f>
        <v>m3</v>
      </c>
      <c r="I33" s="920">
        <f>VLOOKUP($B33,ANALISA!$B$17:$V$2000,16,0)</f>
        <v>0.95888271903857591</v>
      </c>
      <c r="J33" s="919">
        <f>VLOOKUP($B33,ANALISA!$B$17:$V$2000,18,0)</f>
        <v>0</v>
      </c>
      <c r="K33" s="921"/>
      <c r="M33" s="924"/>
      <c r="N33" s="923"/>
    </row>
    <row r="34" spans="2:14" s="912" customFormat="1" ht="15" hidden="1" customHeight="1">
      <c r="B34" s="934">
        <f>ANALISA!B415</f>
        <v>23</v>
      </c>
      <c r="C34" s="915" t="str">
        <f>VLOOKUP($B34,ANALISA!$B$17:$V$2003,3,0)</f>
        <v>Pembuatan m3 Beton Mutu f'c = 7,4 Mpa (K100)</v>
      </c>
      <c r="D34" s="916"/>
      <c r="E34" s="917"/>
      <c r="F34" s="918" t="str">
        <f>VLOOKUP($B34,ANALISA!$B$17:$V$2003,10,0)</f>
        <v>A.4.1.1.1.</v>
      </c>
      <c r="G34" s="919">
        <f>VLOOKUP($B34,ANALISA!$B$17:$V$2003,15,0)</f>
        <v>1044137.92</v>
      </c>
      <c r="H34" s="918" t="str">
        <f>VLOOKUP($B34,ANALISA!$B$17:$V$2003,14,0)</f>
        <v>m3</v>
      </c>
      <c r="I34" s="920">
        <f>VLOOKUP($B34,ANALISA!$B$17:$V$2000,16,0)</f>
        <v>0.96560539320322747</v>
      </c>
      <c r="J34" s="919">
        <f>VLOOKUP($B34,ANALISA!$B$17:$V$2000,18,0)</f>
        <v>0</v>
      </c>
      <c r="K34" s="921"/>
      <c r="M34" s="924"/>
      <c r="N34" s="923"/>
    </row>
    <row r="35" spans="2:14" s="912" customFormat="1" ht="15" customHeight="1">
      <c r="B35" s="934">
        <f>ANALISA!B436</f>
        <v>24</v>
      </c>
      <c r="C35" s="915" t="str">
        <f>VLOOKUP($B35,ANALISA!$B$17:$V$2003,3,0)</f>
        <v>Pembesian 1 kg dengan besi polos atau besi ulir</v>
      </c>
      <c r="D35" s="916"/>
      <c r="E35" s="917"/>
      <c r="F35" s="918" t="str">
        <f>VLOOKUP($B35,ANALISA!$B$17:$V$2003,10,0)</f>
        <v>A.4.1.1.17.</v>
      </c>
      <c r="G35" s="919">
        <f>VLOOKUP($B35,ANALISA!$B$17:$V$2003,15,0)</f>
        <v>17605.28</v>
      </c>
      <c r="H35" s="918" t="str">
        <f>VLOOKUP($B35,ANALISA!$B$17:$V$2003,14,0)</f>
        <v>kg</v>
      </c>
      <c r="I35" s="920">
        <f>VLOOKUP($B35,ANALISA!$B$17:$V$2000,16,0)</f>
        <v>0.19980447627075515</v>
      </c>
      <c r="J35" s="919">
        <f>VLOOKUP($B35,ANALISA!$B$17:$V$2000,18,0)</f>
        <v>0</v>
      </c>
      <c r="K35" s="921"/>
      <c r="M35" s="924"/>
      <c r="N35" s="923"/>
    </row>
    <row r="36" spans="2:14" s="912" customFormat="1" ht="15" hidden="1" customHeight="1">
      <c r="B36" s="934">
        <f>ANALISA!B456</f>
        <v>25</v>
      </c>
      <c r="C36" s="915" t="str">
        <f>VLOOKUP($B36,ANALISA!$B$17:$V$2003,3,0)</f>
        <v xml:space="preserve">Memasang bekisting untuk pondasi </v>
      </c>
      <c r="D36" s="916"/>
      <c r="E36" s="917"/>
      <c r="F36" s="918" t="str">
        <f>VLOOKUP($B36,ANALISA!$B$17:$V$2003,10,0)</f>
        <v>A.4.1.1.20.</v>
      </c>
      <c r="G36" s="919">
        <f>VLOOKUP($B36,ANALISA!$B$17:$V$2003,15,0)</f>
        <v>134010.23999999999</v>
      </c>
      <c r="H36" s="918" t="str">
        <f>VLOOKUP($B36,ANALISA!$B$17:$V$2003,14,0)</f>
        <v>m2</v>
      </c>
      <c r="I36" s="920">
        <f>VLOOKUP($B36,ANALISA!$B$17:$V$2000,16,0)</f>
        <v>0.94977100257413161</v>
      </c>
      <c r="J36" s="919">
        <f>VLOOKUP($B36,ANALISA!$B$17:$V$2000,18,0)</f>
        <v>0</v>
      </c>
      <c r="K36" s="921"/>
      <c r="M36" s="924"/>
      <c r="N36" s="923"/>
    </row>
    <row r="37" spans="2:14" s="912" customFormat="1" ht="15" hidden="1" customHeight="1">
      <c r="B37" s="934">
        <f>ANALISA!B477</f>
        <v>26</v>
      </c>
      <c r="C37" s="915" t="str">
        <f>VLOOKUP($B37,ANALISA!$B$17:$V$2003,3,0)</f>
        <v>Memasang bekisting untuk sloof (asumsi 2x pakai)</v>
      </c>
      <c r="D37" s="916"/>
      <c r="E37" s="917"/>
      <c r="F37" s="918" t="str">
        <f>VLOOKUP($B37,ANALISA!$B$17:$V$2003,10,0)</f>
        <v>A.4.1.1.21.</v>
      </c>
      <c r="G37" s="919">
        <f>VLOOKUP($B37,ANALISA!$B$17:$V$2003,15,0)</f>
        <v>138920.04</v>
      </c>
      <c r="H37" s="918" t="str">
        <f>VLOOKUP($B37,ANALISA!$B$17:$V$2003,14,0)</f>
        <v>m2</v>
      </c>
      <c r="I37" s="920">
        <f>VLOOKUP($B37,ANALISA!$B$17:$V$2000,16,0)</f>
        <v>0.95154622759970409</v>
      </c>
      <c r="J37" s="919">
        <f>VLOOKUP($B37,ANALISA!$B$17:$V$2000,18,0)</f>
        <v>0</v>
      </c>
      <c r="K37" s="921"/>
      <c r="M37" s="924"/>
      <c r="N37" s="923"/>
    </row>
    <row r="38" spans="2:14" s="912" customFormat="1" ht="15" hidden="1" customHeight="1">
      <c r="B38" s="934">
        <f>ANALISA!B498</f>
        <v>27</v>
      </c>
      <c r="C38" s="915" t="str">
        <f>VLOOKUP($B38,ANALISA!$B$17:$V$2003,3,0)</f>
        <v>Memasang bekisting untuk kolom (asumsi 2x pakai)</v>
      </c>
      <c r="D38" s="916"/>
      <c r="E38" s="917"/>
      <c r="F38" s="918" t="str">
        <f>VLOOKUP($B38,ANALISA!$B$17:$V$2003,10,0)</f>
        <v>A.4.1.1.22.</v>
      </c>
      <c r="G38" s="919">
        <f>VLOOKUP($B38,ANALISA!$B$17:$V$2003,15,0)</f>
        <v>182096.32</v>
      </c>
      <c r="H38" s="918" t="str">
        <f>VLOOKUP($B38,ANALISA!$B$17:$V$2003,14,0)</f>
        <v>m2</v>
      </c>
      <c r="I38" s="920">
        <f>VLOOKUP($B38,ANALISA!$B$17:$V$2000,16,0)</f>
        <v>0.82907507411462245</v>
      </c>
      <c r="J38" s="919">
        <f>VLOOKUP($B38,ANALISA!$B$17:$V$2000,18,0)</f>
        <v>0</v>
      </c>
      <c r="K38" s="921"/>
      <c r="M38" s="924"/>
      <c r="N38" s="923"/>
    </row>
    <row r="39" spans="2:14" s="912" customFormat="1" ht="15" hidden="1" customHeight="1">
      <c r="B39" s="934">
        <f>ANALISA!B523</f>
        <v>28</v>
      </c>
      <c r="C39" s="915" t="str">
        <f>VLOOKUP($B39,ANALISA!$B$17:$V$2003,3,0)</f>
        <v>Pemasangan 1 m2  Bekisting untuk Balok Bangunan Gedung</v>
      </c>
      <c r="D39" s="916"/>
      <c r="E39" s="917"/>
      <c r="F39" s="918" t="str">
        <f>VLOOKUP($B39,ANALISA!$B$17:$V$2003,10,0)</f>
        <v>A.4.1.1.23.</v>
      </c>
      <c r="G39" s="919">
        <f>VLOOKUP($B39,ANALISA!$B$17:$V$2003,15,0)</f>
        <v>278647.03999999998</v>
      </c>
      <c r="H39" s="918" t="str">
        <f>VLOOKUP($B39,ANALISA!$B$17:$V$2003,14,0)</f>
        <v>m2</v>
      </c>
      <c r="I39" s="920">
        <f>VLOOKUP($B39,ANALISA!$B$17:$V$2000,16,0)</f>
        <v>0.81092639634714947</v>
      </c>
      <c r="J39" s="919">
        <f>VLOOKUP($B39,ANALISA!$B$17:$V$2000,18,0)</f>
        <v>0</v>
      </c>
      <c r="K39" s="921"/>
      <c r="M39" s="924"/>
      <c r="N39" s="923"/>
    </row>
    <row r="40" spans="2:14" s="912" customFormat="1" ht="15" hidden="1" customHeight="1">
      <c r="B40" s="934">
        <f>ANALISA!B548</f>
        <v>29</v>
      </c>
      <c r="C40" s="915" t="str">
        <f>VLOOKUP($B40,ANALISA!$B$17:$V$2003,3,0)</f>
        <v>Pemasangan 1 m2 Bekisting untuk Plat Beton Bangunan Gedung</v>
      </c>
      <c r="D40" s="916"/>
      <c r="E40" s="917"/>
      <c r="F40" s="918" t="str">
        <f>VLOOKUP($B40,ANALISA!$B$17:$V$2003,10,0)</f>
        <v>A.4.1.1.24</v>
      </c>
      <c r="G40" s="919">
        <f>VLOOKUP($B40,ANALISA!$B$17:$V$2003,15,0)</f>
        <v>361240.32000000001</v>
      </c>
      <c r="H40" s="918" t="str">
        <f>VLOOKUP($B40,ANALISA!$B$17:$V$2003,14,0)</f>
        <v>m2</v>
      </c>
      <c r="I40" s="920">
        <f>VLOOKUP($B40,ANALISA!$B$17:$V$2000,16,0)</f>
        <v>0.85415581516481887</v>
      </c>
      <c r="J40" s="919">
        <f>VLOOKUP($B40,ANALISA!$B$17:$V$2000,18,0)</f>
        <v>0</v>
      </c>
      <c r="K40" s="921"/>
      <c r="M40" s="924"/>
      <c r="N40" s="923"/>
    </row>
    <row r="41" spans="2:14" s="912" customFormat="1" ht="15" hidden="1" customHeight="1">
      <c r="B41" s="934">
        <f>ANALISA!B572</f>
        <v>30</v>
      </c>
      <c r="C41" s="915" t="str">
        <f>VLOOKUP($B41,ANALISA!$B$17:$V$2003,3,0)</f>
        <v>Memasang bekisting (asumsi 2x pakai)</v>
      </c>
      <c r="D41" s="916"/>
      <c r="E41" s="917"/>
      <c r="F41" s="918" t="str">
        <f>VLOOKUP($B41,ANALISA!$B$17:$V$2003,10,0)</f>
        <v>An. Dihitung</v>
      </c>
      <c r="G41" s="919">
        <f>VLOOKUP($B41,ANALISA!$B$17:$V$2003,15,0)</f>
        <v>160480.04</v>
      </c>
      <c r="H41" s="918" t="str">
        <f>VLOOKUP($B41,ANALISA!$B$17:$V$2003,14,0)</f>
        <v>m2</v>
      </c>
      <c r="I41" s="920">
        <f>VLOOKUP($B41,ANALISA!$B$17:$V$2000,16,0)</f>
        <v>0.8237089173208082</v>
      </c>
      <c r="J41" s="919">
        <f>VLOOKUP($B41,ANALISA!$B$17:$V$2000,18,0)</f>
        <v>0</v>
      </c>
      <c r="K41" s="921"/>
      <c r="M41" s="924"/>
      <c r="N41" s="923"/>
    </row>
    <row r="42" spans="2:14" s="912" customFormat="1" ht="15" customHeight="1">
      <c r="B42" s="934">
        <f>ANALISA!B593</f>
        <v>31</v>
      </c>
      <c r="C42" s="915" t="str">
        <f>VLOOKUP($B42,ANALISA!$B$17:$V$2003,3,0)</f>
        <v>Memasang bekisting</v>
      </c>
      <c r="D42" s="916"/>
      <c r="E42" s="917"/>
      <c r="F42" s="918" t="str">
        <f>VLOOKUP($B42,ANALISA!$B$17:$V$2003,10,0)</f>
        <v>Dihitung</v>
      </c>
      <c r="G42" s="919">
        <f>VLOOKUP($B42,ANALISA!$B$17:$V$2003,15,0)</f>
        <v>138920.04</v>
      </c>
      <c r="H42" s="918" t="str">
        <f>VLOOKUP($B42,ANALISA!$B$17:$V$2003,14,0)</f>
        <v>m2</v>
      </c>
      <c r="I42" s="920">
        <f>VLOOKUP($B42,ANALISA!$B$17:$V$2000,16,0)</f>
        <v>0.95154622759970409</v>
      </c>
      <c r="J42" s="919">
        <f>VLOOKUP($B42,ANALISA!$B$17:$V$2000,18,0)</f>
        <v>0</v>
      </c>
      <c r="K42" s="921"/>
      <c r="M42" s="924"/>
      <c r="N42" s="923"/>
    </row>
    <row r="43" spans="2:14" s="912" customFormat="1" ht="15" hidden="1" customHeight="1">
      <c r="B43" s="934">
        <f>ANALISA!B613</f>
        <v>32</v>
      </c>
      <c r="C43" s="915" t="str">
        <f>VLOOKUP($B43,ANALISA!$B$17:$V$2003,3,0)</f>
        <v>Memasang langit-langit gypsum board uk. (120x240), tb. 9 mm.</v>
      </c>
      <c r="D43" s="916"/>
      <c r="E43" s="917"/>
      <c r="F43" s="918" t="str">
        <f>VLOOKUP($B43,ANALISA!$B$17:$V$2003,10,0)</f>
        <v>A.4.5.1.7.</v>
      </c>
      <c r="G43" s="919">
        <f>VLOOKUP($B43,ANALISA!$B$17:$V$2003,15,0)</f>
        <v>55465.760000000002</v>
      </c>
      <c r="H43" s="918" t="str">
        <f>VLOOKUP($B43,ANALISA!$B$17:$V$2003,14,0)</f>
        <v>m2</v>
      </c>
      <c r="I43" s="920">
        <f>VLOOKUP($B43,ANALISA!$B$17:$V$2000,16,0)</f>
        <v>0.30511075661813702</v>
      </c>
      <c r="J43" s="919">
        <f>VLOOKUP($B43,ANALISA!$B$17:$V$2000,18,0)</f>
        <v>0</v>
      </c>
      <c r="K43" s="921"/>
      <c r="M43" s="924"/>
      <c r="N43" s="923"/>
    </row>
    <row r="44" spans="2:14" s="912" customFormat="1" ht="15" hidden="1" customHeight="1">
      <c r="B44" s="934">
        <f>ANALISA!B632</f>
        <v>33</v>
      </c>
      <c r="C44" s="915" t="str">
        <f>VLOOKUP($B44,ANALISA!$B$17:$V$2003,3,0)</f>
        <v>Memasang langit-langit PVC</v>
      </c>
      <c r="D44" s="916"/>
      <c r="E44" s="917"/>
      <c r="F44" s="918" t="str">
        <f>VLOOKUP($B44,ANALISA!$B$17:$V$2003,10,0)</f>
        <v>An. Dihitung</v>
      </c>
      <c r="G44" s="919">
        <f>VLOOKUP($B44,ANALISA!$B$17:$V$2003,15,0)</f>
        <v>178553.76</v>
      </c>
      <c r="H44" s="918" t="str">
        <f>VLOOKUP($B44,ANALISA!$B$17:$V$2003,14,0)</f>
        <v>m2</v>
      </c>
      <c r="I44" s="920">
        <f>VLOOKUP($B44,ANALISA!$B$17:$V$2000,16,0)</f>
        <v>0.43265400851821884</v>
      </c>
      <c r="J44" s="919">
        <f>VLOOKUP($B44,ANALISA!$B$17:$V$2000,18,0)</f>
        <v>0</v>
      </c>
      <c r="K44" s="921"/>
      <c r="M44" s="924"/>
      <c r="N44" s="923"/>
    </row>
    <row r="45" spans="2:14" s="912" customFormat="1" ht="15" hidden="1" customHeight="1">
      <c r="B45" s="934">
        <f>ANALISA!B651</f>
        <v>34</v>
      </c>
      <c r="C45" s="915" t="str">
        <f>VLOOKUP($B45,ANALISA!$B$17:$V$2003,3,0)</f>
        <v>Memasang list plafond gypsum profil</v>
      </c>
      <c r="D45" s="916"/>
      <c r="E45" s="917"/>
      <c r="F45" s="918" t="str">
        <f>VLOOKUP($B45,ANALISA!$B$17:$V$2003,10,0)</f>
        <v>An.Dihitung</v>
      </c>
      <c r="G45" s="919">
        <f>VLOOKUP($B45,ANALISA!$B$17:$V$2003,15,0)</f>
        <v>30932.16</v>
      </c>
      <c r="H45" s="918" t="str">
        <f>VLOOKUP($B45,ANALISA!$B$17:$V$2003,14,0)</f>
        <v>m'</v>
      </c>
      <c r="I45" s="920">
        <f>VLOOKUP($B45,ANALISA!$B$17:$V$2000,16,0)</f>
        <v>0.44601346947642839</v>
      </c>
      <c r="J45" s="919">
        <f>VLOOKUP($B45,ANALISA!$B$17:$V$2000,18,0)</f>
        <v>0</v>
      </c>
      <c r="K45" s="921"/>
      <c r="M45" s="924"/>
      <c r="N45" s="923"/>
    </row>
    <row r="46" spans="2:14" s="912" customFormat="1" ht="15" hidden="1" customHeight="1">
      <c r="B46" s="934">
        <f>ANALISA!B670</f>
        <v>35</v>
      </c>
      <c r="C46" s="915" t="str">
        <f>VLOOKUP($B46,ANALISA!$B$17:$V$2003,3,0)</f>
        <v>Memasang list shadow line galvalum</v>
      </c>
      <c r="D46" s="916"/>
      <c r="E46" s="917"/>
      <c r="F46" s="918" t="str">
        <f>VLOOKUP($B46,ANALISA!$B$17:$V$2003,10,0)</f>
        <v>An.Dihitung</v>
      </c>
      <c r="G46" s="919">
        <f>VLOOKUP($B46,ANALISA!$B$17:$V$2003,15,0)</f>
        <v>12885.6</v>
      </c>
      <c r="H46" s="918" t="str">
        <f>VLOOKUP($B46,ANALISA!$B$17:$V$2003,14,0)</f>
        <v>m'</v>
      </c>
      <c r="I46" s="920">
        <f>VLOOKUP($B46,ANALISA!$B$17:$V$2000,16,0)</f>
        <v>0.60391134289439374</v>
      </c>
      <c r="J46" s="919">
        <f>VLOOKUP($B46,ANALISA!$B$17:$V$2000,18,0)</f>
        <v>0</v>
      </c>
      <c r="K46" s="921"/>
      <c r="M46" s="924"/>
      <c r="N46" s="923"/>
    </row>
    <row r="47" spans="2:14" s="912" customFormat="1" ht="15" hidden="1" customHeight="1">
      <c r="B47" s="934">
        <f>ANALISA!B688</f>
        <v>36</v>
      </c>
      <c r="C47" s="915" t="str">
        <f>VLOOKUP($B47,ANALISA!$B$17:$V$2003,3,0)</f>
        <v xml:space="preserve">Memasang 1 m2 rangka plafond galvanis ukuran (60x60) cm </v>
      </c>
      <c r="D47" s="916"/>
      <c r="E47" s="917"/>
      <c r="F47" s="918" t="str">
        <f>VLOOKUP($B47,ANALISA!$B$17:$V$2003,10,0)</f>
        <v>A.4.5.1.11.</v>
      </c>
      <c r="G47" s="919">
        <f>VLOOKUP($B47,ANALISA!$B$17:$V$2003,15,0)</f>
        <v>101511.2</v>
      </c>
      <c r="H47" s="918" t="str">
        <f>VLOOKUP($B47,ANALISA!$B$17:$V$2003,14,0)</f>
        <v>m2</v>
      </c>
      <c r="I47" s="920">
        <f>VLOOKUP($B47,ANALISA!$B$17:$V$2000,16,0)</f>
        <v>0.75619242014674248</v>
      </c>
      <c r="J47" s="919">
        <f>VLOOKUP($B47,ANALISA!$B$17:$V$2000,18,0)</f>
        <v>0</v>
      </c>
      <c r="K47" s="921"/>
      <c r="M47" s="924"/>
      <c r="N47" s="923"/>
    </row>
    <row r="48" spans="2:14" s="912" customFormat="1" ht="15" customHeight="1">
      <c r="B48" s="934">
        <f>ANALISA!B709</f>
        <v>37</v>
      </c>
      <c r="C48" s="915" t="str">
        <f>VLOOKUP($B48,ANALISA!$B$17:$V$2003,3,0)</f>
        <v>Memasang kusen pintu/jendela alluminium 4"</v>
      </c>
      <c r="D48" s="916"/>
      <c r="E48" s="917"/>
      <c r="F48" s="918" t="str">
        <f>VLOOKUP($B48,ANALISA!$B$17:$V$2003,10,0)</f>
        <v>A.4.2.1.24.</v>
      </c>
      <c r="G48" s="919">
        <f>VLOOKUP($B48,ANALISA!$B$17:$V$2003,15,0)</f>
        <v>168217.28</v>
      </c>
      <c r="H48" s="918" t="str">
        <f>VLOOKUP($B48,ANALISA!$B$17:$V$2003,14,0)</f>
        <v>m'</v>
      </c>
      <c r="I48" s="920">
        <f>VLOOKUP($B48,ANALISA!$B$17:$V$2000,16,0)</f>
        <v>0.48380794172869757</v>
      </c>
      <c r="J48" s="919">
        <f>VLOOKUP($B48,ANALISA!$B$17:$V$2000,18,0)</f>
        <v>0</v>
      </c>
      <c r="K48" s="921"/>
      <c r="M48" s="924"/>
      <c r="N48" s="923"/>
    </row>
    <row r="49" spans="2:14" s="912" customFormat="1" ht="15" hidden="1" customHeight="1">
      <c r="B49" s="934">
        <f>ANALISA!B729</f>
        <v>38</v>
      </c>
      <c r="C49" s="915" t="str">
        <f>VLOOKUP($B49,ANALISA!$B$17:$V$2003,3,0)</f>
        <v>Pemasangan 1 m2  Pintu Alluminium Strip lebar 8 cm</v>
      </c>
      <c r="D49" s="916"/>
      <c r="E49" s="917"/>
      <c r="F49" s="918" t="str">
        <f>VLOOKUP($B49,ANALISA!$B$17:$V$2003,10,0)</f>
        <v>A.4.2.1.25</v>
      </c>
      <c r="G49" s="919">
        <f>VLOOKUP($B49,ANALISA!$B$17:$V$2003,15,0)</f>
        <v>801575.71</v>
      </c>
      <c r="H49" s="918" t="str">
        <f>VLOOKUP($B49,ANALISA!$B$17:$V$2003,14,0)</f>
        <v>m2</v>
      </c>
      <c r="I49" s="920">
        <f>VLOOKUP($B49,ANALISA!$B$17:$V$2000,16,0)</f>
        <v>0.49407031454565831</v>
      </c>
      <c r="J49" s="919">
        <f>VLOOKUP($B49,ANALISA!$B$17:$V$2000,18,0)</f>
        <v>0</v>
      </c>
      <c r="K49" s="921"/>
      <c r="M49" s="924"/>
      <c r="N49" s="923"/>
    </row>
    <row r="50" spans="2:14" s="912" customFormat="1" ht="15" customHeight="1">
      <c r="B50" s="934">
        <f>ANALISA!B750</f>
        <v>39</v>
      </c>
      <c r="C50" s="915" t="str">
        <f>VLOOKUP($B50,ANALISA!$B$17:$V$2003,3,0)</f>
        <v>Memasang pintu kaca rangka alluminium</v>
      </c>
      <c r="D50" s="916"/>
      <c r="E50" s="917"/>
      <c r="F50" s="918" t="str">
        <f>VLOOKUP($B50,ANALISA!$B$17:$V$2003,10,0)</f>
        <v xml:space="preserve">A.4.2.1.26. </v>
      </c>
      <c r="G50" s="919">
        <f>VLOOKUP($B50,ANALISA!$B$17:$V$2003,15,0)</f>
        <v>930379.52</v>
      </c>
      <c r="H50" s="918" t="str">
        <f>VLOOKUP($B50,ANALISA!$B$17:$V$2003,14,0)</f>
        <v>m2</v>
      </c>
      <c r="I50" s="920">
        <f>VLOOKUP($B50,ANALISA!$B$17:$V$2000,16,0)</f>
        <v>0.46233327234030269</v>
      </c>
      <c r="J50" s="919">
        <f>VLOOKUP($B50,ANALISA!$B$17:$V$2000,18,0)</f>
        <v>0</v>
      </c>
      <c r="K50" s="921"/>
      <c r="M50" s="924"/>
      <c r="N50" s="923"/>
    </row>
    <row r="51" spans="2:14" s="912" customFormat="1" ht="15" customHeight="1">
      <c r="B51" s="934">
        <f>ANALISA!B772</f>
        <v>40</v>
      </c>
      <c r="C51" s="915" t="str">
        <f>VLOOKUP($B51,ANALISA!$B$17:$V$2003,3,0)</f>
        <v>Memasang pintu ACP rangka alluminium cokelat</v>
      </c>
      <c r="D51" s="916"/>
      <c r="E51" s="917"/>
      <c r="F51" s="918" t="str">
        <f>VLOOKUP($B51,ANALISA!$B$17:$V$2003,10,0)</f>
        <v>An. Dihitung</v>
      </c>
      <c r="G51" s="919">
        <f>VLOOKUP($B51,ANALISA!$B$17:$V$2003,15,0)</f>
        <v>1088460.52</v>
      </c>
      <c r="H51" s="918" t="str">
        <f>VLOOKUP($B51,ANALISA!$B$17:$V$2003,14,0)</f>
        <v>m2</v>
      </c>
      <c r="I51" s="920">
        <f>VLOOKUP($B51,ANALISA!$B$17:$V$2000,16,0)</f>
        <v>0.46893979397632174</v>
      </c>
      <c r="J51" s="919">
        <f>VLOOKUP($B51,ANALISA!$B$17:$V$2000,18,0)</f>
        <v>0</v>
      </c>
      <c r="K51" s="921"/>
      <c r="M51" s="924"/>
      <c r="N51" s="923"/>
    </row>
    <row r="52" spans="2:14" s="912" customFormat="1" ht="15" hidden="1" customHeight="1">
      <c r="B52" s="934">
        <f>ANALISA!B794</f>
        <v>41</v>
      </c>
      <c r="C52" s="915" t="str">
        <f>VLOOKUP($B52,ANALISA!$B$17:$V$2003,3,0)</f>
        <v xml:space="preserve">Memasang pintu multiplek finishing HPL </v>
      </c>
      <c r="D52" s="916"/>
      <c r="E52" s="917"/>
      <c r="F52" s="918" t="str">
        <f>VLOOKUP($B52,ANALISA!$B$17:$V$2003,10,0)</f>
        <v>An. Dihitung</v>
      </c>
      <c r="G52" s="919">
        <f>VLOOKUP($B52,ANALISA!$B$17:$V$2003,15,0)</f>
        <v>990393.6</v>
      </c>
      <c r="H52" s="918" t="str">
        <f>VLOOKUP($B52,ANALISA!$B$17:$V$2003,14,0)</f>
        <v>m2</v>
      </c>
      <c r="I52" s="920">
        <f>VLOOKUP($B52,ANALISA!$B$17:$V$2000,16,0)</f>
        <v>0.29321029538155335</v>
      </c>
      <c r="J52" s="919">
        <f>VLOOKUP($B52,ANALISA!$B$17:$V$2000,18,0)</f>
        <v>0</v>
      </c>
      <c r="K52" s="921"/>
      <c r="M52" s="924"/>
      <c r="N52" s="923"/>
    </row>
    <row r="53" spans="2:14" s="912" customFormat="1" ht="15" customHeight="1">
      <c r="B53" s="934">
        <f>ANALISA!B815</f>
        <v>42</v>
      </c>
      <c r="C53" s="915" t="str">
        <f>VLOOKUP($B53,ANALISA!$B$17:$V$2003,3,0)</f>
        <v>Memasang jendela &amp; boven kaca rangka aluminium cokelat</v>
      </c>
      <c r="D53" s="916"/>
      <c r="E53" s="917"/>
      <c r="F53" s="918" t="str">
        <f>VLOOKUP($B53,ANALISA!$B$17:$V$2003,10,0)</f>
        <v>An. Dihitung</v>
      </c>
      <c r="G53" s="919">
        <f>VLOOKUP($B53,ANALISA!$B$17:$V$2003,15,0)</f>
        <v>902659.52</v>
      </c>
      <c r="H53" s="918" t="str">
        <f>VLOOKUP($B53,ANALISA!$B$17:$V$2003,14,0)</f>
        <v>m2</v>
      </c>
      <c r="I53" s="920">
        <f>VLOOKUP($B53,ANALISA!$B$17:$V$2000,16,0)</f>
        <v>0.46272703133956872</v>
      </c>
      <c r="J53" s="919">
        <f>VLOOKUP($B53,ANALISA!$B$17:$V$2000,18,0)</f>
        <v>0</v>
      </c>
      <c r="K53" s="921"/>
      <c r="M53" s="924"/>
      <c r="N53" s="923"/>
    </row>
    <row r="54" spans="2:14" s="912" customFormat="1" ht="15" customHeight="1">
      <c r="B54" s="934">
        <f>ANALISA!B837</f>
        <v>43</v>
      </c>
      <c r="C54" s="915" t="str">
        <f>VLOOKUP($B54,ANALISA!$B$17:$V$2003,3,0)</f>
        <v>Memasang kunci tanam dan handel pintu</v>
      </c>
      <c r="D54" s="916"/>
      <c r="E54" s="917"/>
      <c r="F54" s="918" t="str">
        <f>VLOOKUP($B54,ANALISA!$B$17:$V$2003,10,0)</f>
        <v>A.4.6.2.11.</v>
      </c>
      <c r="G54" s="919">
        <f>VLOOKUP($B54,ANALISA!$B$17:$V$2003,15,0)</f>
        <v>417780.16000000003</v>
      </c>
      <c r="H54" s="918" t="str">
        <f>VLOOKUP($B54,ANALISA!$B$17:$V$2003,14,0)</f>
        <v>bh</v>
      </c>
      <c r="I54" s="920">
        <f>VLOOKUP($B54,ANALISA!$B$17:$V$2000,16,0)</f>
        <v>6.1707477923317371E-2</v>
      </c>
      <c r="J54" s="919">
        <f>VLOOKUP($B54,ANALISA!$B$17:$V$2000,18,0)</f>
        <v>0</v>
      </c>
      <c r="K54" s="921"/>
      <c r="M54" s="924"/>
      <c r="N54" s="923"/>
    </row>
    <row r="55" spans="2:14" s="912" customFormat="1" ht="15" customHeight="1">
      <c r="B55" s="934">
        <f>ANALISA!B855</f>
        <v>44</v>
      </c>
      <c r="C55" s="915" t="str">
        <f>VLOOKUP($B55,ANALISA!$B$17:$V$2003,3,0)</f>
        <v>Pemasangan 1 m' Talang datar / Jurai seng bjls 28 lebar 90 cm</v>
      </c>
      <c r="D55" s="916"/>
      <c r="E55" s="917"/>
      <c r="F55" s="918" t="str">
        <f>VLOOKUP($B55,ANALISA!$B$17:$V$2003,10,0)</f>
        <v>A.4.2.1.18.</v>
      </c>
      <c r="G55" s="919">
        <f>VLOOKUP($B55,ANALISA!$B$17:$V$2003,15,0)</f>
        <v>128623.04000000001</v>
      </c>
      <c r="H55" s="918" t="str">
        <f>VLOOKUP($B55,ANALISA!$B$17:$V$2003,14,0)</f>
        <v>m'</v>
      </c>
      <c r="I55" s="920">
        <f>VLOOKUP($B55,ANALISA!$B$17:$V$2000,16,0)</f>
        <v>0.47200501558663205</v>
      </c>
      <c r="J55" s="919">
        <f>VLOOKUP($B55,ANALISA!$B$17:$V$2000,18,0)</f>
        <v>0</v>
      </c>
      <c r="K55" s="921"/>
      <c r="M55" s="924"/>
      <c r="N55" s="923"/>
    </row>
    <row r="56" spans="2:14" s="912" customFormat="1" ht="15" customHeight="1">
      <c r="B56" s="934">
        <f>ANALISA!B877</f>
        <v>45</v>
      </c>
      <c r="C56" s="915" t="str">
        <f>VLOOKUP($B56,ANALISA!$B$17:$V$2003,3,0)</f>
        <v>Memasang plint lantai Granit tile uk. (10 x 60) cm</v>
      </c>
      <c r="D56" s="916"/>
      <c r="E56" s="917"/>
      <c r="F56" s="918" t="str">
        <f>VLOOKUP($B56,ANALISA!$B$17:$V$2003,10,0)</f>
        <v>A.4.4.3.28.a.</v>
      </c>
      <c r="G56" s="919">
        <f>VLOOKUP($B56,ANALISA!$B$17:$V$2003,15,0)</f>
        <v>40992.559999999998</v>
      </c>
      <c r="H56" s="918" t="str">
        <f>VLOOKUP($B56,ANALISA!$B$17:$V$2003,14,0)</f>
        <v>m'</v>
      </c>
      <c r="I56" s="920">
        <f>VLOOKUP($B56,ANALISA!$B$17:$V$2000,16,0)</f>
        <v>0.75778672559118054</v>
      </c>
      <c r="J56" s="919">
        <f>VLOOKUP($B56,ANALISA!$B$17:$V$2000,18,0)</f>
        <v>0</v>
      </c>
      <c r="K56" s="921"/>
      <c r="M56" s="924"/>
      <c r="N56" s="923"/>
    </row>
    <row r="57" spans="2:14" s="912" customFormat="1" ht="15" hidden="1" customHeight="1">
      <c r="B57" s="934">
        <f>ANALISA!B899</f>
        <v>46</v>
      </c>
      <c r="C57" s="915" t="str">
        <f>VLOOKUP($B57,ANALISA!$B$17:$V$2003,3,0)</f>
        <v>Memasang Step nose Granit tile uk. (10 x 60) cm</v>
      </c>
      <c r="D57" s="916"/>
      <c r="E57" s="917"/>
      <c r="F57" s="918" t="str">
        <f>VLOOKUP($B57,ANALISA!$B$17:$V$2003,10,0)</f>
        <v>A.4.4.3.28.a.</v>
      </c>
      <c r="G57" s="919">
        <f>VLOOKUP($B57,ANALISA!$B$17:$V$2003,15,0)</f>
        <v>62888.56</v>
      </c>
      <c r="H57" s="918" t="str">
        <f>VLOOKUP($B57,ANALISA!$B$17:$V$2003,14,0)</f>
        <v>m'</v>
      </c>
      <c r="I57" s="920">
        <f>VLOOKUP($B57,ANALISA!$B$17:$V$2000,16,0)</f>
        <v>0.66653561499897596</v>
      </c>
      <c r="J57" s="919">
        <f>VLOOKUP($B57,ANALISA!$B$17:$V$2000,18,0)</f>
        <v>0</v>
      </c>
      <c r="K57" s="921"/>
      <c r="M57" s="924"/>
      <c r="N57" s="923"/>
    </row>
    <row r="58" spans="2:14" s="912" customFormat="1" ht="15" hidden="1" customHeight="1">
      <c r="B58" s="934">
        <f>ANALISA!B921</f>
        <v>47</v>
      </c>
      <c r="C58" s="915" t="str">
        <f>VLOOKUP($B58,ANALISA!$B$17:$V$2003,3,0)</f>
        <v xml:space="preserve">Memasang lantai keramik unpolish ukuran 40/40 cm </v>
      </c>
      <c r="D58" s="916"/>
      <c r="E58" s="917"/>
      <c r="F58" s="918" t="str">
        <f>VLOOKUP($B58,ANALISA!$B$17:$V$2003,10,0)</f>
        <v>A.4.4.3.35.</v>
      </c>
      <c r="G58" s="919">
        <f>VLOOKUP($B58,ANALISA!$B$17:$V$2003,15,0)</f>
        <v>210282.23999999999</v>
      </c>
      <c r="H58" s="918" t="str">
        <f>VLOOKUP($B58,ANALISA!$B$17:$V$2003,14,0)</f>
        <v>m2</v>
      </c>
      <c r="I58" s="920">
        <f>VLOOKUP($B58,ANALISA!$B$17:$V$2000,16,0)</f>
        <v>0.8835316001960033</v>
      </c>
      <c r="J58" s="919">
        <f>VLOOKUP($B58,ANALISA!$B$17:$V$2000,18,0)</f>
        <v>0</v>
      </c>
      <c r="K58" s="921"/>
      <c r="M58" s="924"/>
      <c r="N58" s="923"/>
    </row>
    <row r="59" spans="2:14" s="912" customFormat="1" ht="15" hidden="1" customHeight="1">
      <c r="B59" s="934">
        <f>ANALISA!B943</f>
        <v>48</v>
      </c>
      <c r="C59" s="915" t="str">
        <f>VLOOKUP($B59,ANALISA!$B$17:$V$2003,3,0)</f>
        <v xml:space="preserve">Memasang lantai keramik uk. (40x40) cm </v>
      </c>
      <c r="D59" s="916"/>
      <c r="E59" s="917"/>
      <c r="F59" s="918" t="str">
        <f>VLOOKUP($B59,ANALISA!$B$17:$V$2003,10,0)</f>
        <v>An. Dihitung</v>
      </c>
      <c r="G59" s="919">
        <f>VLOOKUP($B59,ANALISA!$B$17:$V$2003,15,0)</f>
        <v>216079.35999999999</v>
      </c>
      <c r="H59" s="918" t="str">
        <f>VLOOKUP($B59,ANALISA!$B$17:$V$2003,14,0)</f>
        <v>m2</v>
      </c>
      <c r="I59" s="920">
        <f>VLOOKUP($B59,ANALISA!$B$17:$V$2000,16,0)</f>
        <v>0.90718874450572229</v>
      </c>
      <c r="J59" s="919">
        <f>VLOOKUP($B59,ANALISA!$B$17:$V$2000,18,0)</f>
        <v>0</v>
      </c>
      <c r="K59" s="921"/>
      <c r="M59" s="924"/>
      <c r="N59" s="923"/>
    </row>
    <row r="60" spans="2:14" s="912" customFormat="1" ht="15" customHeight="1">
      <c r="B60" s="934">
        <f>ANALISA!B964</f>
        <v>49</v>
      </c>
      <c r="C60" s="915" t="str">
        <f>VLOOKUP($B60,ANALISA!$B$17:$V$2003,3,0)</f>
        <v>Memasang lantai granit tile ( 60 x 60 ) cm</v>
      </c>
      <c r="D60" s="916"/>
      <c r="E60" s="917"/>
      <c r="F60" s="918" t="str">
        <f>VLOOKUP($B60,ANALISA!$B$17:$V$2003,10,0)</f>
        <v>An. Dihitung</v>
      </c>
      <c r="G60" s="919">
        <f>VLOOKUP($B60,ANALISA!$B$17:$V$2003,15,0)</f>
        <v>259540.37</v>
      </c>
      <c r="H60" s="918" t="str">
        <f>VLOOKUP($B60,ANALISA!$B$17:$V$2003,14,0)</f>
        <v>m2</v>
      </c>
      <c r="I60" s="920">
        <f>VLOOKUP($B60,ANALISA!$B$17:$V$2000,16,0)</f>
        <v>0.70817793241922466</v>
      </c>
      <c r="J60" s="919">
        <f>VLOOKUP($B60,ANALISA!$B$17:$V$2000,18,0)</f>
        <v>0</v>
      </c>
      <c r="K60" s="921"/>
      <c r="M60" s="924"/>
      <c r="N60" s="923"/>
    </row>
    <row r="61" spans="2:14" s="912" customFormat="1" ht="15" customHeight="1">
      <c r="B61" s="934">
        <f>ANALISA!B985</f>
        <v>50</v>
      </c>
      <c r="C61" s="915" t="str">
        <f>VLOOKUP($B61,ANALISA!$B$17:$V$2003,3,0)</f>
        <v>Memasang lantai granit tile ( 60 x 60 ) cm, texture</v>
      </c>
      <c r="D61" s="916"/>
      <c r="E61" s="917"/>
      <c r="F61" s="918" t="str">
        <f>VLOOKUP($B61,ANALISA!$B$17:$V$2003,10,0)</f>
        <v>An. Dihitung</v>
      </c>
      <c r="G61" s="919">
        <f>VLOOKUP($B61,ANALISA!$B$17:$V$2003,15,0)</f>
        <v>305350.44999999995</v>
      </c>
      <c r="H61" s="918" t="str">
        <f>VLOOKUP($B61,ANALISA!$B$17:$V$2003,14,0)</f>
        <v>m2</v>
      </c>
      <c r="I61" s="920">
        <f>VLOOKUP($B61,ANALISA!$B$17:$V$2000,16,0)</f>
        <v>0.69367675699901776</v>
      </c>
      <c r="J61" s="919">
        <f>VLOOKUP($B61,ANALISA!$B$17:$V$2000,18,0)</f>
        <v>0</v>
      </c>
      <c r="K61" s="921"/>
      <c r="M61" s="924"/>
      <c r="N61" s="923"/>
    </row>
    <row r="62" spans="2:14" s="912" customFormat="1" ht="15" customHeight="1">
      <c r="B62" s="934">
        <f>ANALISA!B1006</f>
        <v>51</v>
      </c>
      <c r="C62" s="915" t="str">
        <f>VLOOKUP($B62,ANALISA!$B$17:$V$2003,3,0)</f>
        <v>Memasang dinding granit tile  uk. (60x60) cm (km, t.wudhu)</v>
      </c>
      <c r="D62" s="916"/>
      <c r="E62" s="917"/>
      <c r="F62" s="918" t="str">
        <f>VLOOKUP($B62,ANALISA!$B$17:$V$2003,10,0)</f>
        <v>An. Dihitung</v>
      </c>
      <c r="G62" s="919">
        <f>VLOOKUP($B62,ANALISA!$B$17:$V$2003,15,0)</f>
        <v>269744.13</v>
      </c>
      <c r="H62" s="918" t="str">
        <f>VLOOKUP($B62,ANALISA!$B$17:$V$2003,14,0)</f>
        <v>m2</v>
      </c>
      <c r="I62" s="920">
        <f>VLOOKUP($B62,ANALISA!$B$17:$V$2000,16,0)</f>
        <v>0.71980976122740892</v>
      </c>
      <c r="J62" s="919">
        <f>VLOOKUP($B62,ANALISA!$B$17:$V$2000,18,0)</f>
        <v>0</v>
      </c>
      <c r="K62" s="921"/>
      <c r="M62" s="924"/>
      <c r="N62" s="923"/>
    </row>
    <row r="63" spans="2:14" s="912" customFormat="1" ht="15" hidden="1" customHeight="1">
      <c r="B63" s="934">
        <f>ANALISA!B1027</f>
        <v>52</v>
      </c>
      <c r="C63" s="915" t="str">
        <f>VLOOKUP($B63,ANALISA!$B$17:$V$2003,3,0)</f>
        <v>Memasang dinding keramik  uk. (25x40) cm</v>
      </c>
      <c r="D63" s="916"/>
      <c r="E63" s="917"/>
      <c r="F63" s="918" t="str">
        <f>VLOOKUP($B63,ANALISA!$B$17:$V$2003,10,0)</f>
        <v>An. Dihitung</v>
      </c>
      <c r="G63" s="919">
        <f>VLOOKUP($B63,ANALISA!$B$17:$V$2003,15,0)</f>
        <v>235275.6</v>
      </c>
      <c r="H63" s="918" t="str">
        <f>VLOOKUP($B63,ANALISA!$B$17:$V$2003,14,0)</f>
        <v>m2</v>
      </c>
      <c r="I63" s="920">
        <f>VLOOKUP($B63,ANALISA!$B$17:$V$2000,16,0)</f>
        <v>0.89886915991288519</v>
      </c>
      <c r="J63" s="919">
        <f>VLOOKUP($B63,ANALISA!$B$17:$V$2000,18,0)</f>
        <v>0</v>
      </c>
      <c r="K63" s="921"/>
      <c r="M63" s="924"/>
      <c r="N63" s="923"/>
    </row>
    <row r="64" spans="2:14" s="912" customFormat="1" ht="15" hidden="1" customHeight="1">
      <c r="B64" s="934">
        <f>ANALISA!B1048</f>
        <v>53</v>
      </c>
      <c r="C64" s="915" t="str">
        <f>VLOOKUP($B64,ANALISA!$B$17:$V$2003,3,0)</f>
        <v>Memasang plint keramik uk. (10x40) cm</v>
      </c>
      <c r="D64" s="916"/>
      <c r="E64" s="917"/>
      <c r="F64" s="918" t="str">
        <f>VLOOKUP($B64,ANALISA!$B$17:$V$2003,10,0)</f>
        <v>An. Dihitung</v>
      </c>
      <c r="G64" s="919">
        <f>VLOOKUP($B64,ANALISA!$B$17:$V$2003,15,0)</f>
        <v>48597.36</v>
      </c>
      <c r="H64" s="918" t="str">
        <f>VLOOKUP($B64,ANALISA!$B$17:$V$2003,14,0)</f>
        <v>m'</v>
      </c>
      <c r="I64" s="920">
        <f>VLOOKUP($B64,ANALISA!$B$17:$V$2000,16,0)</f>
        <v>0.47412470586879618</v>
      </c>
      <c r="J64" s="919">
        <f>VLOOKUP($B64,ANALISA!$B$17:$V$2000,18,0)</f>
        <v>0</v>
      </c>
      <c r="K64" s="921"/>
      <c r="M64" s="924"/>
      <c r="N64" s="923"/>
    </row>
    <row r="65" spans="2:14" s="912" customFormat="1" ht="15" customHeight="1">
      <c r="B65" s="934">
        <f>ANALISA!B1069</f>
        <v>54</v>
      </c>
      <c r="C65" s="915" t="str">
        <f>VLOOKUP($B65,ANALISA!$B$17:$V$2003,3,0)</f>
        <v>Pasang penutup atap galvalum berpasir</v>
      </c>
      <c r="D65" s="916"/>
      <c r="E65" s="917"/>
      <c r="F65" s="918" t="str">
        <f>VLOOKUP($B65,ANALISA!$B$17:$V$2003,10,0)</f>
        <v>An. Dihitung</v>
      </c>
      <c r="G65" s="919">
        <f>VLOOKUP($B65,ANALISA!$B$17:$V$2003,15,0)</f>
        <v>122812.48</v>
      </c>
      <c r="H65" s="918" t="str">
        <f>VLOOKUP($B65,ANALISA!$B$17:$V$2003,14,0)</f>
        <v>m2</v>
      </c>
      <c r="I65" s="920">
        <f>VLOOKUP($B65,ANALISA!$B$17:$V$2000,16,0)</f>
        <v>0.192915899100808</v>
      </c>
      <c r="J65" s="919">
        <f>VLOOKUP($B65,ANALISA!$B$17:$V$2000,18,0)</f>
        <v>0</v>
      </c>
      <c r="K65" s="921"/>
      <c r="M65" s="924"/>
      <c r="N65" s="923"/>
    </row>
    <row r="66" spans="2:14" s="912" customFormat="1" ht="15" customHeight="1">
      <c r="B66" s="934">
        <f>ANALISA!B1088</f>
        <v>55</v>
      </c>
      <c r="C66" s="915" t="str">
        <f>VLOOKUP($B66,ANALISA!$B$17:$V$2003,3,0)</f>
        <v>Pasang bubung galvalum pasir</v>
      </c>
      <c r="D66" s="916"/>
      <c r="E66" s="917"/>
      <c r="F66" s="918" t="str">
        <f>VLOOKUP($B66,ANALISA!$B$17:$V$2003,10,0)</f>
        <v>An. Dihitung</v>
      </c>
      <c r="G66" s="919">
        <f>VLOOKUP($B66,ANALISA!$B$17:$V$2003,15,0)</f>
        <v>72493.119999999995</v>
      </c>
      <c r="H66" s="918" t="str">
        <f>VLOOKUP($B66,ANALISA!$B$17:$V$2003,14,0)</f>
        <v>m'</v>
      </c>
      <c r="I66" s="920">
        <f>VLOOKUP($B66,ANALISA!$B$17:$V$2000,16,0)</f>
        <v>0.42377715292154622</v>
      </c>
      <c r="J66" s="919">
        <f>VLOOKUP($B66,ANALISA!$B$17:$V$2000,18,0)</f>
        <v>0</v>
      </c>
      <c r="K66" s="921"/>
      <c r="M66" s="924"/>
      <c r="N66" s="923"/>
    </row>
    <row r="67" spans="2:14" s="912" customFormat="1" ht="15" hidden="1" customHeight="1">
      <c r="B67" s="934">
        <f>ANALISA!B1107</f>
        <v>56</v>
      </c>
      <c r="C67" s="915" t="str">
        <f>VLOOKUP($B67,ANALISA!$B$17:$V$2003,3,0)</f>
        <v xml:space="preserve"> Pemasangan 1 m2 Lapisan Aluminium Foil</v>
      </c>
      <c r="D67" s="916"/>
      <c r="E67" s="917"/>
      <c r="F67" s="918" t="str">
        <f>VLOOKUP($B67,ANALISA!$B$17:$V$2003,10,0)</f>
        <v>A.4.5.2.44.</v>
      </c>
      <c r="G67" s="919">
        <f>VLOOKUP($B67,ANALISA!$B$17:$V$2003,15,0)</f>
        <v>39574.080000000002</v>
      </c>
      <c r="H67" s="918" t="str">
        <f>VLOOKUP($B67,ANALISA!$B$17:$V$2003,14,0)</f>
        <v>m2</v>
      </c>
      <c r="I67" s="920">
        <f>VLOOKUP($B67,ANALISA!$B$17:$V$2000,16,0)</f>
        <v>0.56614026150449992</v>
      </c>
      <c r="J67" s="919">
        <f>VLOOKUP($B67,ANALISA!$B$17:$V$2000,18,0)</f>
        <v>0</v>
      </c>
      <c r="K67" s="921"/>
      <c r="M67" s="924"/>
      <c r="N67" s="923"/>
    </row>
    <row r="68" spans="2:14" s="912" customFormat="1" ht="15" hidden="1" customHeight="1">
      <c r="B68" s="934">
        <f>ANALISA!B1125</f>
        <v>57</v>
      </c>
      <c r="C68" s="915" t="str">
        <f>VLOOKUP($B68,ANALISA!$B$17:$V$2003,3,0)</f>
        <v>Pemasangan 1 Buah Closet Duduk/Monoblock</v>
      </c>
      <c r="D68" s="916"/>
      <c r="E68" s="917"/>
      <c r="F68" s="918" t="str">
        <f>VLOOKUP($B68,ANALISA!$B$17:$V$2003,10,0)</f>
        <v>A.5.1.1.1.</v>
      </c>
      <c r="G68" s="919">
        <f>VLOOKUP($B68,ANALISA!$B$17:$V$2003,15,0)</f>
        <v>2416848</v>
      </c>
      <c r="H68" s="918" t="str">
        <f>VLOOKUP($B68,ANALISA!$B$17:$V$2003,14,0)</f>
        <v>bh</v>
      </c>
      <c r="I68" s="920">
        <f>VLOOKUP($B68,ANALISA!$B$17:$V$2000,16,0)</f>
        <v>0.43300569998609761</v>
      </c>
      <c r="J68" s="919">
        <f>VLOOKUP($B68,ANALISA!$B$17:$V$2000,18,0)</f>
        <v>0</v>
      </c>
      <c r="K68" s="921"/>
      <c r="M68" s="924"/>
      <c r="N68" s="923"/>
    </row>
    <row r="69" spans="2:14" s="912" customFormat="1" ht="15" customHeight="1">
      <c r="B69" s="934">
        <f>ANALISA!B1145</f>
        <v>58</v>
      </c>
      <c r="C69" s="915" t="str">
        <f>VLOOKUP($B69,ANALISA!$B$17:$V$2003,3,0)</f>
        <v>Pemasangan 1 Buah Closet Jongkok Porselen</v>
      </c>
      <c r="D69" s="916"/>
      <c r="E69" s="917"/>
      <c r="F69" s="918" t="str">
        <f>VLOOKUP($B69,ANALISA!$B$17:$V$2003,10,0)</f>
        <v>A.5.1.1.2.</v>
      </c>
      <c r="G69" s="919">
        <f>VLOOKUP($B69,ANALISA!$B$17:$V$2003,15,0)</f>
        <v>590385.6</v>
      </c>
      <c r="H69" s="918" t="str">
        <f>VLOOKUP($B69,ANALISA!$B$17:$V$2003,14,0)</f>
        <v>bh</v>
      </c>
      <c r="I69" s="920">
        <f>VLOOKUP($B69,ANALISA!$B$17:$V$2000,16,0)</f>
        <v>0.90234115872744858</v>
      </c>
      <c r="J69" s="919">
        <f>VLOOKUP($B69,ANALISA!$B$17:$V$2000,18,0)</f>
        <v>0</v>
      </c>
      <c r="K69" s="921"/>
      <c r="M69" s="924"/>
      <c r="N69" s="923"/>
    </row>
    <row r="70" spans="2:14" s="912" customFormat="1" ht="15" hidden="1" customHeight="1">
      <c r="B70" s="934">
        <f>ANALISA!B1165</f>
        <v>59</v>
      </c>
      <c r="C70" s="915" t="str">
        <f>VLOOKUP($B70,ANALISA!$B$17:$V$2003,3,0)</f>
        <v>Memasang wastafel lengkap sifon stainless</v>
      </c>
      <c r="D70" s="916"/>
      <c r="E70" s="917"/>
      <c r="F70" s="918" t="str">
        <f>VLOOKUP($B70,ANALISA!$B$17:$V$2003,10,0)</f>
        <v>A.5.1.1.5.</v>
      </c>
      <c r="G70" s="919">
        <f>VLOOKUP($B70,ANALISA!$B$17:$V$2003,15,0)</f>
        <v>900376.96</v>
      </c>
      <c r="H70" s="918" t="str">
        <f>VLOOKUP($B70,ANALISA!$B$17:$V$2003,14,0)</f>
        <v>bh</v>
      </c>
      <c r="I70" s="920">
        <f>VLOOKUP($B70,ANALISA!$B$17:$V$2000,16,0)</f>
        <v>0.76619325221293977</v>
      </c>
      <c r="J70" s="919">
        <f>VLOOKUP($B70,ANALISA!$B$17:$V$2000,18,0)</f>
        <v>0</v>
      </c>
      <c r="K70" s="921"/>
      <c r="M70" s="924"/>
      <c r="N70" s="923"/>
    </row>
    <row r="71" spans="2:14" s="912" customFormat="1" ht="15" customHeight="1">
      <c r="B71" s="934">
        <f>ANALISA!B1187</f>
        <v>60</v>
      </c>
      <c r="C71" s="915" t="str">
        <f>VLOOKUP($B71,ANALISA!$B$17:$V$2003,3,0)</f>
        <v>Memasang floor drain stainless</v>
      </c>
      <c r="D71" s="916"/>
      <c r="E71" s="917"/>
      <c r="F71" s="918" t="str">
        <f>VLOOKUP($B71,ANALISA!$B$17:$V$2003,10,0)</f>
        <v>A.5.1.1.14.</v>
      </c>
      <c r="G71" s="919">
        <f>VLOOKUP($B71,ANALISA!$B$17:$V$2003,15,0)</f>
        <v>119784</v>
      </c>
      <c r="H71" s="918" t="str">
        <f>VLOOKUP($B71,ANALISA!$B$17:$V$2003,14,0)</f>
        <v>bh</v>
      </c>
      <c r="I71" s="920">
        <f>VLOOKUP($B71,ANALISA!$B$17:$V$2000,16,0)</f>
        <v>0.11173445535296868</v>
      </c>
      <c r="J71" s="919">
        <f>VLOOKUP($B71,ANALISA!$B$17:$V$2000,18,0)</f>
        <v>0</v>
      </c>
      <c r="K71" s="921"/>
      <c r="M71" s="924"/>
      <c r="N71" s="923"/>
    </row>
    <row r="72" spans="2:14" s="912" customFormat="1" ht="15" hidden="1" customHeight="1">
      <c r="B72" s="934">
        <f>ANALISA!B1205</f>
        <v>61</v>
      </c>
      <c r="C72" s="915" t="str">
        <f>VLOOKUP($B72,ANALISA!$B$17:$V$2003,3,0)</f>
        <v>Memasang roof drain stainless</v>
      </c>
      <c r="D72" s="916"/>
      <c r="E72" s="917"/>
      <c r="F72" s="918" t="str">
        <f>VLOOKUP($B72,ANALISA!$B$17:$V$2003,10,0)</f>
        <v>An. Dihitung</v>
      </c>
      <c r="G72" s="919">
        <f>VLOOKUP($B72,ANALISA!$B$17:$V$2003,15,0)</f>
        <v>108584</v>
      </c>
      <c r="H72" s="918" t="str">
        <f>VLOOKUP($B72,ANALISA!$B$17:$V$2003,14,0)</f>
        <v>bh</v>
      </c>
      <c r="I72" s="920">
        <f>VLOOKUP($B72,ANALISA!$B$17:$V$2000,16,0)</f>
        <v>0.12325941206807632</v>
      </c>
      <c r="J72" s="919">
        <f>VLOOKUP($B72,ANALISA!$B$17:$V$2000,18,0)</f>
        <v>0</v>
      </c>
      <c r="K72" s="921"/>
      <c r="M72" s="924"/>
      <c r="N72" s="923"/>
    </row>
    <row r="73" spans="2:14" s="912" customFormat="1" ht="15" hidden="1" customHeight="1">
      <c r="B73" s="934">
        <f>ANALISA!B1223</f>
        <v>62</v>
      </c>
      <c r="C73" s="915" t="str">
        <f>VLOOKUP($B73,ANALISA!$B$17:$V$2003,3,0)</f>
        <v>Memasang pipa PVC tipe AW diameter 1/2"</v>
      </c>
      <c r="D73" s="916"/>
      <c r="E73" s="917"/>
      <c r="F73" s="918" t="str">
        <f>VLOOKUP($B73,ANALISA!$B$17:$V$2003,10,0)</f>
        <v xml:space="preserve">A.5.1.1.25. </v>
      </c>
      <c r="G73" s="919">
        <f>VLOOKUP($B73,ANALISA!$B$17:$V$2003,15,0)</f>
        <v>24379.040000000001</v>
      </c>
      <c r="H73" s="918" t="str">
        <f>VLOOKUP($B73,ANALISA!$B$17:$V$2003,14,0)</f>
        <v>m'</v>
      </c>
      <c r="I73" s="920">
        <f>VLOOKUP($B73,ANALISA!$B$17:$V$2000,16,0)</f>
        <v>0.94298313961501357</v>
      </c>
      <c r="J73" s="919">
        <f>VLOOKUP($B73,ANALISA!$B$17:$V$2000,18,0)</f>
        <v>0</v>
      </c>
      <c r="K73" s="921"/>
      <c r="M73" s="924"/>
      <c r="N73" s="923"/>
    </row>
    <row r="74" spans="2:14" s="912" customFormat="1" ht="15" customHeight="1">
      <c r="B74" s="934">
        <f>ANALISA!B1242</f>
        <v>63</v>
      </c>
      <c r="C74" s="915" t="str">
        <f>VLOOKUP($B74,ANALISA!$B$17:$V$2003,3,0)</f>
        <v>Memasang pipa PVC tipe AW diameter 3/4"</v>
      </c>
      <c r="D74" s="916"/>
      <c r="E74" s="917"/>
      <c r="F74" s="918" t="str">
        <f>VLOOKUP($B74,ANALISA!$B$17:$V$2003,10,0)</f>
        <v>A.5.1.1.26.</v>
      </c>
      <c r="G74" s="919">
        <f>VLOOKUP($B74,ANALISA!$B$17:$V$2003,15,0)</f>
        <v>24379.040000000001</v>
      </c>
      <c r="H74" s="918" t="str">
        <f>VLOOKUP($B74,ANALISA!$B$17:$V$2003,14,0)</f>
        <v>m'</v>
      </c>
      <c r="I74" s="920">
        <f>VLOOKUP($B74,ANALISA!$B$17:$V$2000,16,0)</f>
        <v>0.94298313961501357</v>
      </c>
      <c r="J74" s="919">
        <f>VLOOKUP($B74,ANALISA!$B$17:$V$2000,18,0)</f>
        <v>0</v>
      </c>
      <c r="K74" s="921"/>
      <c r="M74" s="924"/>
      <c r="N74" s="923"/>
    </row>
    <row r="75" spans="2:14" s="912" customFormat="1" ht="15" hidden="1" customHeight="1">
      <c r="B75" s="934">
        <f>ANALISA!B1261</f>
        <v>64</v>
      </c>
      <c r="C75" s="915" t="str">
        <f>VLOOKUP($B75,ANALISA!$B$17:$V$2003,3,0)</f>
        <v>Memasang pipa PVC tipe AW diameter 1"</v>
      </c>
      <c r="D75" s="916"/>
      <c r="E75" s="917"/>
      <c r="F75" s="918" t="str">
        <f>VLOOKUP($B75,ANALISA!$B$17:$V$2003,10,0)</f>
        <v>A.5.1.1.27.</v>
      </c>
      <c r="G75" s="919">
        <f>VLOOKUP($B75,ANALISA!$B$17:$V$2003,15,0)</f>
        <v>27243.439999999999</v>
      </c>
      <c r="H75" s="918" t="str">
        <f>VLOOKUP($B75,ANALISA!$B$17:$V$2003,14,0)</f>
        <v>m'</v>
      </c>
      <c r="I75" s="920">
        <f>VLOOKUP($B75,ANALISA!$B$17:$V$2000,16,0)</f>
        <v>0.93804464634422091</v>
      </c>
      <c r="J75" s="919">
        <f>VLOOKUP($B75,ANALISA!$B$17:$V$2000,18,0)</f>
        <v>0</v>
      </c>
      <c r="K75" s="921"/>
      <c r="M75" s="924"/>
      <c r="N75" s="923"/>
    </row>
    <row r="76" spans="2:14" s="912" customFormat="1" ht="15" hidden="1" customHeight="1">
      <c r="B76" s="934">
        <f>ANALISA!B1281</f>
        <v>65</v>
      </c>
      <c r="C76" s="915" t="str">
        <f>VLOOKUP($B76,ANALISA!$B$17:$V$2003,3,0)</f>
        <v>Memasang pipa PVC tipe AW diameter 1 1/2"</v>
      </c>
      <c r="D76" s="916"/>
      <c r="E76" s="917"/>
      <c r="F76" s="918" t="str">
        <f>VLOOKUP($B76,ANALISA!$B$17:$V$2003,10,0)</f>
        <v>A.5.1.1.28.</v>
      </c>
      <c r="G76" s="919">
        <f>VLOOKUP($B76,ANALISA!$B$17:$V$2003,15,0)</f>
        <v>50326.36</v>
      </c>
      <c r="H76" s="918" t="str">
        <f>VLOOKUP($B76,ANALISA!$B$17:$V$2003,14,0)</f>
        <v>m'</v>
      </c>
      <c r="I76" s="920">
        <f>VLOOKUP($B76,ANALISA!$B$17:$V$2000,16,0)</f>
        <v>0.93014280865931875</v>
      </c>
      <c r="J76" s="919">
        <f>VLOOKUP($B76,ANALISA!$B$17:$V$2000,18,0)</f>
        <v>0</v>
      </c>
      <c r="K76" s="921"/>
      <c r="M76" s="924"/>
      <c r="N76" s="923"/>
    </row>
    <row r="77" spans="2:14" s="912" customFormat="1" ht="15" hidden="1" customHeight="1">
      <c r="B77" s="934">
        <f>ANALISA!B1301</f>
        <v>66</v>
      </c>
      <c r="C77" s="915" t="str">
        <f>VLOOKUP($B77,ANALISA!$B$17:$V$2003,3,0)</f>
        <v>Memasang pipa PVC tipe AW diameter 2"</v>
      </c>
      <c r="D77" s="916"/>
      <c r="E77" s="917"/>
      <c r="F77" s="918" t="str">
        <f>VLOOKUP($B77,ANALISA!$B$17:$V$2003,10,0)</f>
        <v>A.5.1.1.29.</v>
      </c>
      <c r="G77" s="919">
        <f>VLOOKUP($B77,ANALISA!$B$17:$V$2003,15,0)</f>
        <v>85870.959999999992</v>
      </c>
      <c r="H77" s="918" t="str">
        <f>VLOOKUP($B77,ANALISA!$B$17:$V$2003,14,0)</f>
        <v>m'</v>
      </c>
      <c r="I77" s="920">
        <f>VLOOKUP($B77,ANALISA!$B$17:$V$2000,16,0)</f>
        <v>0.91601540357764721</v>
      </c>
      <c r="J77" s="919">
        <f>VLOOKUP($B77,ANALISA!$B$17:$V$2000,18,0)</f>
        <v>0</v>
      </c>
      <c r="K77" s="921"/>
      <c r="M77" s="924"/>
      <c r="N77" s="923"/>
    </row>
    <row r="78" spans="2:14" s="912" customFormat="1" ht="15" hidden="1" customHeight="1">
      <c r="B78" s="934">
        <f>ANALISA!B1320</f>
        <v>67</v>
      </c>
      <c r="C78" s="915" t="str">
        <f>VLOOKUP($B78,ANALISA!$B$17:$V$2003,3,0)</f>
        <v>Memasang pipa PVC tipe AW diameter 2,5"</v>
      </c>
      <c r="D78" s="916"/>
      <c r="E78" s="917"/>
      <c r="F78" s="918" t="str">
        <f>VLOOKUP($B78,ANALISA!$B$17:$V$2003,10,0)</f>
        <v>A.5.1.1.30.</v>
      </c>
      <c r="G78" s="919">
        <f>VLOOKUP($B78,ANALISA!$B$17:$V$2003,15,0)</f>
        <v>300745.76</v>
      </c>
      <c r="H78" s="918" t="str">
        <f>VLOOKUP($B78,ANALISA!$B$17:$V$2003,14,0)</f>
        <v>m'</v>
      </c>
      <c r="I78" s="920">
        <f>VLOOKUP($B78,ANALISA!$B$17:$V$2000,16,0)</f>
        <v>0.90456080112318127</v>
      </c>
      <c r="J78" s="919">
        <f>VLOOKUP($B78,ANALISA!$B$17:$V$2000,18,0)</f>
        <v>0</v>
      </c>
      <c r="K78" s="921"/>
      <c r="M78" s="924"/>
      <c r="N78" s="923"/>
    </row>
    <row r="79" spans="2:14" s="912" customFormat="1" ht="15" customHeight="1">
      <c r="B79" s="934">
        <f>ANALISA!B1339</f>
        <v>68</v>
      </c>
      <c r="C79" s="915" t="str">
        <f>VLOOKUP($B79,ANALISA!$B$17:$V$2003,3,0)</f>
        <v>Memasang pipa PVC tipe AW diameter 3"</v>
      </c>
      <c r="D79" s="916"/>
      <c r="E79" s="917"/>
      <c r="F79" s="918" t="str">
        <f>VLOOKUP($B79,ANALISA!$B$17:$V$2003,10,0)</f>
        <v>A.5.1.1.31.</v>
      </c>
      <c r="G79" s="919">
        <f>VLOOKUP($B79,ANALISA!$B$17:$V$2003,15,0)</f>
        <v>103964.28</v>
      </c>
      <c r="H79" s="918" t="str">
        <f>VLOOKUP($B79,ANALISA!$B$17:$V$2003,14,0)</f>
        <v>m'</v>
      </c>
      <c r="I79" s="920">
        <f>VLOOKUP($B79,ANALISA!$B$17:$V$2000,16,0)</f>
        <v>0.92060397898201174</v>
      </c>
      <c r="J79" s="919">
        <f>VLOOKUP($B79,ANALISA!$B$17:$V$2000,18,0)</f>
        <v>0</v>
      </c>
      <c r="K79" s="921"/>
      <c r="M79" s="924"/>
      <c r="N79" s="923"/>
    </row>
    <row r="80" spans="2:14" s="912" customFormat="1" ht="15" customHeight="1">
      <c r="B80" s="934">
        <f>ANALISA!B1358</f>
        <v>69</v>
      </c>
      <c r="C80" s="915" t="str">
        <f>VLOOKUP($B80,ANALISA!$B$17:$V$2003,3,0)</f>
        <v>Memasang pipa PVC tipe AW diameter 4"</v>
      </c>
      <c r="D80" s="916"/>
      <c r="E80" s="917"/>
      <c r="F80" s="918" t="str">
        <f>VLOOKUP($B80,ANALISA!$B$17:$V$2003,10,0)</f>
        <v>A.5.1.1.32.</v>
      </c>
      <c r="G80" s="919">
        <f>VLOOKUP($B80,ANALISA!$B$17:$V$2003,15,0)</f>
        <v>167594.56</v>
      </c>
      <c r="H80" s="918" t="str">
        <f>VLOOKUP($B80,ANALISA!$B$17:$V$2003,14,0)</f>
        <v>m'</v>
      </c>
      <c r="I80" s="920">
        <f>VLOOKUP($B80,ANALISA!$B$17:$V$2000,16,0)</f>
        <v>0.91135196941953245</v>
      </c>
      <c r="J80" s="919">
        <f>VLOOKUP($B80,ANALISA!$B$17:$V$2000,18,0)</f>
        <v>0</v>
      </c>
      <c r="K80" s="921"/>
      <c r="M80" s="924"/>
      <c r="N80" s="923"/>
    </row>
    <row r="81" spans="2:14" s="912" customFormat="1" ht="15" hidden="1" customHeight="1">
      <c r="B81" s="934">
        <f>ANALISA!B1377</f>
        <v>70</v>
      </c>
      <c r="C81" s="915" t="str">
        <f>VLOOKUP($B81,ANALISA!$B$17:$V$2003,3,0)</f>
        <v>Memasang pipa PVC tipe AW diameter 8"</v>
      </c>
      <c r="D81" s="916"/>
      <c r="E81" s="917"/>
      <c r="F81" s="918" t="str">
        <f>VLOOKUP($B81,ANALISA!$B$17:$V$2003,10,0)</f>
        <v>A.5.1.1.32.</v>
      </c>
      <c r="G81" s="919">
        <f>VLOOKUP($B81,ANALISA!$B$17:$V$2003,15,0)</f>
        <v>675721.76</v>
      </c>
      <c r="H81" s="918" t="str">
        <f>VLOOKUP($B81,ANALISA!$B$17:$V$2003,14,0)</f>
        <v>m'</v>
      </c>
      <c r="I81" s="920">
        <f>VLOOKUP($B81,ANALISA!$B$17:$V$2000,16,0)</f>
        <v>0.89981734493795196</v>
      </c>
      <c r="J81" s="919">
        <f>VLOOKUP($B81,ANALISA!$B$17:$V$2000,18,0)</f>
        <v>0</v>
      </c>
      <c r="K81" s="921"/>
      <c r="M81" s="924"/>
      <c r="N81" s="923"/>
    </row>
    <row r="82" spans="2:14" s="912" customFormat="1" ht="15" hidden="1" customHeight="1">
      <c r="B82" s="934">
        <f>ANALISA!B1396</f>
        <v>71</v>
      </c>
      <c r="C82" s="915" t="str">
        <f>VLOOKUP($B82,ANALISA!$B$17:$V$2003,3,0)</f>
        <v>Memasang bak cuci piring stainlessteel dan aksesoris</v>
      </c>
      <c r="D82" s="916"/>
      <c r="E82" s="917"/>
      <c r="F82" s="918" t="str">
        <f>VLOOKUP($B82,ANALISA!$B$17:$V$2003,10,0)</f>
        <v>A.5.1.1.12.</v>
      </c>
      <c r="G82" s="919">
        <f>VLOOKUP($B82,ANALISA!$B$17:$V$2003,15,0)</f>
        <v>796152</v>
      </c>
      <c r="H82" s="918" t="str">
        <f>VLOOKUP($B82,ANALISA!$B$17:$V$2003,14,0)</f>
        <v>bh</v>
      </c>
      <c r="I82" s="920">
        <f>VLOOKUP($B82,ANALISA!$B$17:$V$2000,16,0)</f>
        <v>5.0432580713230639E-2</v>
      </c>
      <c r="J82" s="919">
        <f>VLOOKUP($B82,ANALISA!$B$17:$V$2000,18,0)</f>
        <v>0</v>
      </c>
      <c r="K82" s="921"/>
      <c r="M82" s="924"/>
      <c r="N82" s="923"/>
    </row>
    <row r="83" spans="2:14" s="912" customFormat="1" ht="15" customHeight="1">
      <c r="B83" s="934">
        <f>ANALISA!B1415</f>
        <v>72</v>
      </c>
      <c r="C83" s="915" t="str">
        <f>VLOOKUP($B83,ANALISA!$B$17:$V$2003,3,0)</f>
        <v>Memasang kran diameter 1/2"atau 3/4", onda stainless</v>
      </c>
      <c r="D83" s="916"/>
      <c r="E83" s="917"/>
      <c r="F83" s="918" t="str">
        <f>VLOOKUP($B83,ANALISA!$B$17:$V$2003,10,0)</f>
        <v>A.5.1.1.19.</v>
      </c>
      <c r="G83" s="919">
        <f>VLOOKUP($B83,ANALISA!$B$17:$V$2003,15,0)</f>
        <v>172158</v>
      </c>
      <c r="H83" s="918" t="str">
        <f>VLOOKUP($B83,ANALISA!$B$17:$V$2003,14,0)</f>
        <v>bh</v>
      </c>
      <c r="I83" s="920">
        <f>VLOOKUP($B83,ANALISA!$B$17:$V$2000,16,0)</f>
        <v>0.95427502642921036</v>
      </c>
      <c r="J83" s="919">
        <f>VLOOKUP($B83,ANALISA!$B$17:$V$2000,18,0)</f>
        <v>0</v>
      </c>
      <c r="K83" s="921"/>
      <c r="M83" s="924"/>
      <c r="N83" s="923"/>
    </row>
    <row r="84" spans="2:14" s="912" customFormat="1" ht="15" hidden="1" customHeight="1">
      <c r="B84" s="934">
        <f>ANALISA!B1434</f>
        <v>73</v>
      </c>
      <c r="C84" s="915" t="str">
        <f>VLOOKUP($B84,ANALISA!$B$17:$V$2003,3,0)</f>
        <v>Pasang Jet shower</v>
      </c>
      <c r="D84" s="916"/>
      <c r="E84" s="917"/>
      <c r="F84" s="918" t="str">
        <f>VLOOKUP($B84,ANALISA!$B$17:$V$2003,10,0)</f>
        <v>A.5.1.1.19.</v>
      </c>
      <c r="G84" s="919">
        <f>VLOOKUP($B84,ANALISA!$B$17:$V$2003,15,0)</f>
        <v>299768</v>
      </c>
      <c r="H84" s="918" t="str">
        <f>VLOOKUP($B84,ANALISA!$B$17:$V$2003,14,0)</f>
        <v>bh</v>
      </c>
      <c r="I84" s="920">
        <f>VLOOKUP($B84,ANALISA!$B$17:$V$2000,16,0)</f>
        <v>4.4647861012516346E-2</v>
      </c>
      <c r="J84" s="919">
        <f>VLOOKUP($B84,ANALISA!$B$17:$V$2000,18,0)</f>
        <v>0</v>
      </c>
      <c r="K84" s="921"/>
      <c r="M84" s="924"/>
      <c r="N84" s="923"/>
    </row>
    <row r="85" spans="2:14" s="912" customFormat="1" ht="15" hidden="1" customHeight="1">
      <c r="B85" s="934">
        <f>ANALISA!B1453</f>
        <v>74</v>
      </c>
      <c r="C85" s="915" t="str">
        <f>VLOOKUP($B85,ANALISA!$B$17:$V$2003,3,0)</f>
        <v>Pasang stop kran bahan kuningan ukuran 3/4 "</v>
      </c>
      <c r="D85" s="916"/>
      <c r="E85" s="917"/>
      <c r="F85" s="918" t="str">
        <f>VLOOKUP($B85,ANALISA!$B$17:$V$2003,10,0)</f>
        <v>Dihitung</v>
      </c>
      <c r="G85" s="919">
        <f>VLOOKUP($B85,ANALISA!$B$17:$V$2003,15,0)</f>
        <v>132977.60000000001</v>
      </c>
      <c r="H85" s="918" t="str">
        <f>VLOOKUP($B85,ANALISA!$B$17:$V$2003,14,0)</f>
        <v>bh</v>
      </c>
      <c r="I85" s="920">
        <f>VLOOKUP($B85,ANALISA!$B$17:$V$2000,16,0)</f>
        <v>0.16701760296470985</v>
      </c>
      <c r="J85" s="919">
        <f>VLOOKUP($B85,ANALISA!$B$17:$V$2000,18,0)</f>
        <v>0</v>
      </c>
      <c r="K85" s="921"/>
      <c r="M85" s="924"/>
      <c r="N85" s="923"/>
    </row>
    <row r="86" spans="2:14" s="912" customFormat="1" ht="15" hidden="1" customHeight="1">
      <c r="B86" s="934">
        <f>ANALISA!B1471</f>
        <v>75</v>
      </c>
      <c r="C86" s="915" t="str">
        <f>VLOOKUP($B86,ANALISA!$B$17:$V$2003,3,0)</f>
        <v>Pemasangan 1 m2 Kaca  Tebal 5 mm</v>
      </c>
      <c r="D86" s="916"/>
      <c r="E86" s="917"/>
      <c r="F86" s="918" t="str">
        <f>VLOOKUP($B86,ANALISA!$B$17:$V$2003,10,0)</f>
        <v>A.4.6.2.17.</v>
      </c>
      <c r="G86" s="919">
        <f>VLOOKUP($B86,ANALISA!$B$17:$V$2003,15,0)</f>
        <v>173508.61</v>
      </c>
      <c r="H86" s="918" t="str">
        <f>VLOOKUP($B86,ANALISA!$B$17:$V$2003,14,0)</f>
        <v>m2</v>
      </c>
      <c r="I86" s="920">
        <f>VLOOKUP($B86,ANALISA!$B$17:$V$2000,16,0)</f>
        <v>0.60926823411550857</v>
      </c>
      <c r="J86" s="919">
        <f>VLOOKUP($B86,ANALISA!$B$17:$V$2000,18,0)</f>
        <v>0</v>
      </c>
      <c r="K86" s="921"/>
      <c r="M86" s="924"/>
      <c r="N86" s="923"/>
    </row>
    <row r="87" spans="2:14" s="912" customFormat="1" ht="15" customHeight="1">
      <c r="B87" s="934">
        <f>ANALISA!B1490</f>
        <v>76</v>
      </c>
      <c r="C87" s="915" t="str">
        <f>VLOOKUP($B87,ANALISA!$B$17:$V$2003,3,0)</f>
        <v>Pengecatan 1m2 dinding baru (cat interior)</v>
      </c>
      <c r="D87" s="916"/>
      <c r="E87" s="917"/>
      <c r="F87" s="918" t="str">
        <f>VLOOKUP($B87,ANALISA!$B$17:$V$2003,10,0)</f>
        <v>A.4.7.1.10.</v>
      </c>
      <c r="G87" s="919">
        <f>VLOOKUP($B87,ANALISA!$B$17:$V$2003,15,0)</f>
        <v>27836.7</v>
      </c>
      <c r="H87" s="918" t="str">
        <f>VLOOKUP($B87,ANALISA!$B$17:$V$2003,14,0)</f>
        <v>m2</v>
      </c>
      <c r="I87" s="920">
        <f>VLOOKUP($B87,ANALISA!$B$17:$V$2000,16,0)</f>
        <v>0.50690410473883685</v>
      </c>
      <c r="J87" s="919">
        <f>VLOOKUP($B87,ANALISA!$B$17:$V$2000,18,0)</f>
        <v>0</v>
      </c>
      <c r="K87" s="921"/>
      <c r="M87" s="924"/>
      <c r="N87" s="923"/>
    </row>
    <row r="88" spans="2:14" s="912" customFormat="1" ht="15" customHeight="1">
      <c r="B88" s="934">
        <f>ANALISA!B1510</f>
        <v>77</v>
      </c>
      <c r="C88" s="915" t="str">
        <f>VLOOKUP($B88,ANALISA!$B$17:$V$2003,3,0)</f>
        <v>Pengecatan 1m2 dinding luar (cat exterior)</v>
      </c>
      <c r="D88" s="916"/>
      <c r="E88" s="917"/>
      <c r="F88" s="918" t="str">
        <f>VLOOKUP($B88,ANALISA!$B$17:$V$2003,10,0)</f>
        <v>A.4.7.1.10a.</v>
      </c>
      <c r="G88" s="919">
        <f>VLOOKUP($B88,ANALISA!$B$17:$V$2003,15,0)</f>
        <v>56409.02</v>
      </c>
      <c r="H88" s="918" t="str">
        <f>VLOOKUP($B88,ANALISA!$B$17:$V$2003,14,0)</f>
        <v>m2</v>
      </c>
      <c r="I88" s="920">
        <f>VLOOKUP($B88,ANALISA!$B$17:$V$2000,16,0)</f>
        <v>0.444497391055729</v>
      </c>
      <c r="J88" s="919">
        <f>VLOOKUP($B88,ANALISA!$B$17:$V$2000,18,0)</f>
        <v>0</v>
      </c>
      <c r="K88" s="921"/>
      <c r="M88" s="924"/>
      <c r="N88" s="923"/>
    </row>
    <row r="89" spans="2:14" s="912" customFormat="1" ht="15" hidden="1" customHeight="1">
      <c r="B89" s="934">
        <f>ANALISA!B1530</f>
        <v>78</v>
      </c>
      <c r="C89" s="915" t="str">
        <f>VLOOKUP($B89,ANALISA!$B$17:$V$2003,3,0)</f>
        <v>Pengecatan 1 m2 Bidang Kayu Baru (lisplang)</v>
      </c>
      <c r="D89" s="916"/>
      <c r="E89" s="917"/>
      <c r="F89" s="918" t="str">
        <f>VLOOKUP($B89,ANALISA!$B$17:$V$2003,10,0)</f>
        <v>A.4.7.1.5.</v>
      </c>
      <c r="G89" s="919">
        <f>VLOOKUP($B89,ANALISA!$B$17:$V$2003,15,0)</f>
        <v>68672.800000000003</v>
      </c>
      <c r="H89" s="918" t="str">
        <f>VLOOKUP($B89,ANALISA!$B$17:$V$2003,14,0)</f>
        <v>m2</v>
      </c>
      <c r="I89" s="920">
        <f>VLOOKUP($B89,ANALISA!$B$17:$V$2000,16,0)</f>
        <v>0.47789922857375844</v>
      </c>
      <c r="J89" s="919">
        <f>VLOOKUP($B89,ANALISA!$B$17:$V$2000,18,0)</f>
        <v>0</v>
      </c>
      <c r="K89" s="921"/>
      <c r="M89" s="924"/>
      <c r="N89" s="923"/>
    </row>
    <row r="90" spans="2:14" s="912" customFormat="1" ht="15" hidden="1" customHeight="1">
      <c r="B90" s="934">
        <f>ANALISA!B1554</f>
        <v>79</v>
      </c>
      <c r="C90" s="915" t="str">
        <f>VLOOKUP($B90,ANALISA!$B$17:$V$2003,3,0)</f>
        <v>Instalasi kabelpembagi (2x1,5mm)</v>
      </c>
      <c r="D90" s="916"/>
      <c r="E90" s="917"/>
      <c r="F90" s="918" t="str">
        <f>VLOOKUP($B90,ANALISA!$B$17:$V$2003,10,0)</f>
        <v>An. Dihitung</v>
      </c>
      <c r="G90" s="919">
        <f>VLOOKUP($B90,ANALISA!$B$17:$V$2003,15,0)</f>
        <v>49952</v>
      </c>
      <c r="H90" s="918" t="str">
        <f>VLOOKUP($B90,ANALISA!$B$17:$V$2003,14,0)</f>
        <v>m'</v>
      </c>
      <c r="I90" s="920">
        <f>VLOOKUP($B90,ANALISA!$B$17:$V$2000,16,0)</f>
        <v>0.95930493273542605</v>
      </c>
      <c r="J90" s="919">
        <f>VLOOKUP($B90,ANALISA!$B$17:$V$2000,18,0)</f>
        <v>0</v>
      </c>
      <c r="K90" s="921"/>
      <c r="M90" s="924"/>
      <c r="N90" s="923"/>
    </row>
    <row r="91" spans="2:14" s="912" customFormat="1" ht="15" customHeight="1">
      <c r="B91" s="934">
        <f>ANALISA!B1574</f>
        <v>80</v>
      </c>
      <c r="C91" s="915" t="str">
        <f>VLOOKUP($B91,ANALISA!$B$17:$V$2003,3,0)</f>
        <v>Memasang instalasi titik lampu (kabel 2x1,5 mm) + fitting</v>
      </c>
      <c r="D91" s="916"/>
      <c r="E91" s="917"/>
      <c r="F91" s="918" t="str">
        <f>VLOOKUP($B91,ANALISA!$B$17:$V$2003,10,0)</f>
        <v>An. Dihitung</v>
      </c>
      <c r="G91" s="919">
        <f>VLOOKUP($B91,ANALISA!$B$17:$V$2003,15,0)</f>
        <v>160003.20000000001</v>
      </c>
      <c r="H91" s="918" t="str">
        <f>VLOOKUP($B91,ANALISA!$B$17:$V$2003,14,0)</f>
        <v>ttk</v>
      </c>
      <c r="I91" s="920">
        <f>VLOOKUP($B91,ANALISA!$B$17:$V$2000,16,0)</f>
        <v>0.751504969900602</v>
      </c>
      <c r="J91" s="919">
        <f>VLOOKUP($B91,ANALISA!$B$17:$V$2000,18,0)</f>
        <v>0</v>
      </c>
      <c r="K91" s="921"/>
      <c r="M91" s="924"/>
      <c r="N91" s="923"/>
    </row>
    <row r="92" spans="2:14" s="912" customFormat="1" ht="15" customHeight="1">
      <c r="B92" s="934">
        <f>ANALISA!B1595</f>
        <v>81</v>
      </c>
      <c r="C92" s="915" t="str">
        <f>VLOOKUP($B92,ANALISA!$B$17:$V$2003,3,0)</f>
        <v>Memasang instalasi titik lampu (kabel 2x1,5 mm) tanpa fitting</v>
      </c>
      <c r="D92" s="916"/>
      <c r="E92" s="917"/>
      <c r="F92" s="918" t="str">
        <f>VLOOKUP($B92,ANALISA!$B$17:$V$2003,10,0)</f>
        <v>An. Dihitung</v>
      </c>
      <c r="G92" s="919">
        <f>VLOOKUP($B92,ANALISA!$B$17:$V$2003,15,0)</f>
        <v>150371.20000000001</v>
      </c>
      <c r="H92" s="918" t="str">
        <f>VLOOKUP($B92,ANALISA!$B$17:$V$2003,14,0)</f>
        <v>ttk</v>
      </c>
      <c r="I92" s="920">
        <f>VLOOKUP($B92,ANALISA!$B$17:$V$2000,16,0)</f>
        <v>0.79964248473111876</v>
      </c>
      <c r="J92" s="919">
        <f>VLOOKUP($B92,ANALISA!$B$17:$V$2000,18,0)</f>
        <v>0</v>
      </c>
      <c r="K92" s="921"/>
      <c r="M92" s="924"/>
      <c r="N92" s="923"/>
    </row>
    <row r="93" spans="2:14" s="912" customFormat="1" ht="15" customHeight="1">
      <c r="B93" s="934">
        <f>ANALISA!B1615</f>
        <v>82</v>
      </c>
      <c r="C93" s="915" t="str">
        <f>VLOOKUP($B93,ANALISA!$B$17:$V$2003,3,0)</f>
        <v>Memasang Instalasi titik saklar (kabel 2x1,5 mm)</v>
      </c>
      <c r="D93" s="916"/>
      <c r="E93" s="917"/>
      <c r="F93" s="918" t="str">
        <f>VLOOKUP($B93,ANALISA!$B$17:$V$2003,10,0)</f>
        <v>An. Dihitung</v>
      </c>
      <c r="G93" s="919">
        <f>VLOOKUP($B93,ANALISA!$B$17:$V$2003,15,0)</f>
        <v>150371.20000000001</v>
      </c>
      <c r="H93" s="918" t="str">
        <f>VLOOKUP($B93,ANALISA!$B$17:$V$2003,14,0)</f>
        <v>ttk</v>
      </c>
      <c r="I93" s="920">
        <f>VLOOKUP($B93,ANALISA!$B$17:$V$2000,16,0)</f>
        <v>0.79964248473111876</v>
      </c>
      <c r="J93" s="919">
        <f>VLOOKUP($B93,ANALISA!$B$17:$V$2000,18,0)</f>
        <v>0</v>
      </c>
      <c r="K93" s="921"/>
      <c r="M93" s="924"/>
      <c r="N93" s="923"/>
    </row>
    <row r="94" spans="2:14" s="912" customFormat="1" ht="15" customHeight="1">
      <c r="B94" s="934">
        <f>ANALISA!B1635</f>
        <v>83</v>
      </c>
      <c r="C94" s="915" t="str">
        <f>VLOOKUP($B94,ANALISA!$B$17:$V$2003,3,0)</f>
        <v>Memasang Instalasi titik stop kontak (kabel 3x2,5 mm)</v>
      </c>
      <c r="D94" s="916"/>
      <c r="E94" s="917"/>
      <c r="F94" s="918" t="str">
        <f>VLOOKUP($B94,ANALISA!$B$17:$V$2003,10,0)</f>
        <v>An. Dihitung</v>
      </c>
      <c r="G94" s="919">
        <f>VLOOKUP($B94,ANALISA!$B$17:$V$2003,15,0)</f>
        <v>318371.20000000001</v>
      </c>
      <c r="H94" s="918" t="str">
        <f>VLOOKUP($B94,ANALISA!$B$17:$V$2003,14,0)</f>
        <v>ttk</v>
      </c>
      <c r="I94" s="920">
        <f>VLOOKUP($B94,ANALISA!$B$17:$V$2000,16,0)</f>
        <v>0.87230000703581223</v>
      </c>
      <c r="J94" s="919">
        <f>VLOOKUP($B94,ANALISA!$B$17:$V$2000,18,0)</f>
        <v>0</v>
      </c>
      <c r="K94" s="921"/>
      <c r="M94" s="924"/>
      <c r="N94" s="923"/>
    </row>
    <row r="95" spans="2:14" s="912" customFormat="1" ht="15" customHeight="1">
      <c r="B95" s="934">
        <f>ANALISA!B1655</f>
        <v>84</v>
      </c>
      <c r="C95" s="915" t="str">
        <f>VLOOKUP($B95,ANALISA!$B$17:$V$2003,3,0)</f>
        <v>Memasang saklar ganda</v>
      </c>
      <c r="D95" s="916"/>
      <c r="E95" s="917"/>
      <c r="F95" s="918" t="str">
        <f>VLOOKUP($B95,ANALISA!$B$17:$V$2003,10,0)</f>
        <v>An. Dihitung</v>
      </c>
      <c r="G95" s="919">
        <f>VLOOKUP($B95,ANALISA!$B$17:$V$2003,15,0)</f>
        <v>62081.599999999999</v>
      </c>
      <c r="H95" s="918" t="str">
        <f>VLOOKUP($B95,ANALISA!$B$17:$V$2003,14,0)</f>
        <v>bh</v>
      </c>
      <c r="I95" s="920">
        <f>VLOOKUP($B95,ANALISA!$B$17:$V$2000,16,0)</f>
        <v>0.37781887064766373</v>
      </c>
      <c r="J95" s="919">
        <f>VLOOKUP($B95,ANALISA!$B$17:$V$2000,18,0)</f>
        <v>0</v>
      </c>
      <c r="K95" s="921"/>
      <c r="M95" s="924"/>
      <c r="N95" s="923"/>
    </row>
    <row r="96" spans="2:14" s="912" customFormat="1" ht="15" customHeight="1">
      <c r="B96" s="934">
        <f>ANALISA!B1672</f>
        <v>85</v>
      </c>
      <c r="C96" s="915" t="str">
        <f>VLOOKUP($B96,ANALISA!$B$17:$V$2003,3,0)</f>
        <v>Memasang saklar tunggal</v>
      </c>
      <c r="D96" s="916"/>
      <c r="E96" s="917"/>
      <c r="F96" s="918" t="str">
        <f>VLOOKUP($B96,ANALISA!$B$17:$V$2003,10,0)</f>
        <v>An. Dihitung</v>
      </c>
      <c r="G96" s="919">
        <f>VLOOKUP($B96,ANALISA!$B$17:$V$2003,15,0)</f>
        <v>50713.599999999999</v>
      </c>
      <c r="H96" s="918" t="str">
        <f>VLOOKUP($B96,ANALISA!$B$17:$V$2003,14,0)</f>
        <v>bh</v>
      </c>
      <c r="I96" s="920">
        <f>VLOOKUP($B96,ANALISA!$B$17:$V$2000,16,0)</f>
        <v>0.41033568904593637</v>
      </c>
      <c r="J96" s="919">
        <f>VLOOKUP($B96,ANALISA!$B$17:$V$2000,18,0)</f>
        <v>0</v>
      </c>
      <c r="K96" s="921"/>
      <c r="M96" s="924"/>
      <c r="N96" s="923"/>
    </row>
    <row r="97" spans="2:14" s="912" customFormat="1" ht="15" customHeight="1">
      <c r="B97" s="934">
        <f>ANALISA!B1689</f>
        <v>86</v>
      </c>
      <c r="C97" s="915" t="str">
        <f>VLOOKUP($B97,ANALISA!$B$17:$V$2003,3,0)</f>
        <v>Memasang stop kontak</v>
      </c>
      <c r="D97" s="916"/>
      <c r="E97" s="917"/>
      <c r="F97" s="918" t="str">
        <f>VLOOKUP($B97,ANALISA!$B$17:$V$2003,10,0)</f>
        <v>An. Dihitung</v>
      </c>
      <c r="G97" s="919">
        <f>VLOOKUP($B97,ANALISA!$B$17:$V$2003,15,0)</f>
        <v>44217.599999999999</v>
      </c>
      <c r="H97" s="918" t="str">
        <f>VLOOKUP($B97,ANALISA!$B$17:$V$2003,14,0)</f>
        <v>bh</v>
      </c>
      <c r="I97" s="920">
        <f>VLOOKUP($B97,ANALISA!$B$17:$V$2000,16,0)</f>
        <v>0.43642350557244175</v>
      </c>
      <c r="J97" s="919">
        <f>VLOOKUP($B97,ANALISA!$B$17:$V$2000,18,0)</f>
        <v>0</v>
      </c>
      <c r="K97" s="921"/>
      <c r="M97" s="924"/>
      <c r="N97" s="923"/>
    </row>
    <row r="98" spans="2:14" s="912" customFormat="1" ht="15" hidden="1" customHeight="1">
      <c r="B98" s="934">
        <f>ANALISA!B1706</f>
        <v>87</v>
      </c>
      <c r="C98" s="915" t="str">
        <f>VLOOKUP($B98,ANALISA!$B$17:$V$2003,3,0)</f>
        <v xml:space="preserve">Memasang stop kontak AC </v>
      </c>
      <c r="D98" s="916"/>
      <c r="E98" s="917"/>
      <c r="F98" s="918" t="str">
        <f>VLOOKUP($B98,ANALISA!$B$17:$V$2003,10,0)</f>
        <v>An. Dihitung</v>
      </c>
      <c r="G98" s="919">
        <f>VLOOKUP($B98,ANALISA!$B$17:$V$2003,15,0)</f>
        <v>160820.79999999999</v>
      </c>
      <c r="H98" s="918" t="str">
        <f>VLOOKUP($B98,ANALISA!$B$17:$V$2003,14,0)</f>
        <v>bh</v>
      </c>
      <c r="I98" s="920">
        <f>VLOOKUP($B98,ANALISA!$B$17:$V$2000,16,0)</f>
        <v>0.25323838707430879</v>
      </c>
      <c r="J98" s="919">
        <f>VLOOKUP($B98,ANALISA!$B$17:$V$2000,18,0)</f>
        <v>0</v>
      </c>
      <c r="K98" s="921"/>
      <c r="M98" s="924"/>
      <c r="N98" s="923"/>
    </row>
    <row r="99" spans="2:14" s="912" customFormat="1" ht="15" customHeight="1">
      <c r="B99" s="934">
        <f>ANALISA!B1723</f>
        <v>88</v>
      </c>
      <c r="C99" s="915" t="str">
        <f>VLOOKUP($B99,ANALISA!$B$17:$V$2003,3,0)</f>
        <v>Pemasangan 1 buah Box MCB</v>
      </c>
      <c r="D99" s="916"/>
      <c r="E99" s="917"/>
      <c r="F99" s="918" t="str">
        <f>VLOOKUP($B99,ANALISA!$B$17:$V$2003,10,0)</f>
        <v>An. Dihitung</v>
      </c>
      <c r="G99" s="919">
        <f>VLOOKUP($B99,ANALISA!$B$17:$V$2003,15,0)</f>
        <v>245560</v>
      </c>
      <c r="H99" s="918" t="str">
        <f>VLOOKUP($B99,ANALISA!$B$17:$V$2003,14,0)</f>
        <v>ttk</v>
      </c>
      <c r="I99" s="920">
        <f>VLOOKUP($B99,ANALISA!$B$17:$V$2000,16,0)</f>
        <v>0.43329532497149376</v>
      </c>
      <c r="J99" s="919">
        <f>VLOOKUP($B99,ANALISA!$B$17:$V$2000,18,0)</f>
        <v>0</v>
      </c>
      <c r="K99" s="921"/>
      <c r="M99" s="924"/>
      <c r="N99" s="923"/>
    </row>
    <row r="100" spans="2:14" s="912" customFormat="1" ht="15" customHeight="1">
      <c r="B100" s="934">
        <f>ANALISA!B1741</f>
        <v>89</v>
      </c>
      <c r="C100" s="915" t="str">
        <f>VLOOKUP($B100,ANALISA!$B$17:$V$2003,3,0)</f>
        <v>Pemasangan 1 buah MCB</v>
      </c>
      <c r="D100" s="916"/>
      <c r="E100" s="917"/>
      <c r="F100" s="918" t="str">
        <f>VLOOKUP($B100,ANALISA!$B$17:$V$2003,10,0)</f>
        <v>An. Dihitung</v>
      </c>
      <c r="G100" s="919">
        <f>VLOOKUP($B100,ANALISA!$B$17:$V$2003,15,0)</f>
        <v>176960</v>
      </c>
      <c r="H100" s="918" t="str">
        <f>VLOOKUP($B100,ANALISA!$B$17:$V$2003,14,0)</f>
        <v>ttk</v>
      </c>
      <c r="I100" s="920">
        <f>VLOOKUP($B100,ANALISA!$B$17:$V$2000,16,0)</f>
        <v>0.60126582278481011</v>
      </c>
      <c r="J100" s="919">
        <f>VLOOKUP($B100,ANALISA!$B$17:$V$2000,18,0)</f>
        <v>0</v>
      </c>
      <c r="K100" s="921"/>
      <c r="M100" s="924"/>
      <c r="N100" s="923"/>
    </row>
    <row r="101" spans="2:14" s="912" customFormat="1" ht="15" customHeight="1">
      <c r="B101" s="934">
        <f>ANALISA!B1756</f>
        <v>90</v>
      </c>
      <c r="C101" s="915" t="str">
        <f>VLOOKUP($B101,ANALISA!$B$17:$V$2003,3,0)</f>
        <v>Memasang Lampu downlight LED Slim ukuran 14 watt"</v>
      </c>
      <c r="D101" s="916"/>
      <c r="E101" s="917"/>
      <c r="F101" s="918" t="str">
        <f>VLOOKUP($B101,ANALISA!$B$17:$V$2003,10,0)</f>
        <v>An. Dihitung</v>
      </c>
      <c r="G101" s="919">
        <f>VLOOKUP($B101,ANALISA!$B$17:$V$2003,15,0)</f>
        <v>151401.60000000001</v>
      </c>
      <c r="H101" s="918" t="str">
        <f>VLOOKUP($B101,ANALISA!$B$17:$V$2003,14,0)</f>
        <v>bh</v>
      </c>
      <c r="I101" s="920">
        <f>VLOOKUP($B101,ANALISA!$B$17:$V$2000,16,0)</f>
        <v>7.5306998076638557E-2</v>
      </c>
      <c r="J101" s="919">
        <f>VLOOKUP($B101,ANALISA!$B$17:$V$2000,18,0)</f>
        <v>0</v>
      </c>
      <c r="K101" s="921"/>
      <c r="M101" s="924"/>
      <c r="N101" s="923"/>
    </row>
    <row r="102" spans="2:14" s="912" customFormat="1" ht="15" customHeight="1">
      <c r="B102" s="934">
        <f>ANALISA!B1774</f>
        <v>91</v>
      </c>
      <c r="C102" s="915" t="str">
        <f>VLOOKUP($B102,ANALISA!$B$17:$V$2003,3,0)</f>
        <v>Memasang Lampu downlight LED Slim ukuran 7 watt"</v>
      </c>
      <c r="D102" s="916"/>
      <c r="E102" s="917"/>
      <c r="F102" s="918" t="str">
        <f>VLOOKUP($B102,ANALISA!$B$17:$V$2003,10,0)</f>
        <v>An. Dihitung</v>
      </c>
      <c r="G102" s="919">
        <f>VLOOKUP($B102,ANALISA!$B$17:$V$2003,15,0)</f>
        <v>95401.600000000006</v>
      </c>
      <c r="H102" s="918" t="str">
        <f>VLOOKUP($B102,ANALISA!$B$17:$V$2003,14,0)</f>
        <v>bh</v>
      </c>
      <c r="I102" s="920">
        <f>VLOOKUP($B102,ANALISA!$B$17:$V$2000,16,0)</f>
        <v>0.1195116224465837</v>
      </c>
      <c r="J102" s="919">
        <f>VLOOKUP($B102,ANALISA!$B$17:$V$2000,18,0)</f>
        <v>0</v>
      </c>
      <c r="K102" s="921"/>
      <c r="M102" s="924"/>
      <c r="N102" s="923"/>
    </row>
    <row r="103" spans="2:14" s="912" customFormat="1" ht="15" hidden="1" customHeight="1">
      <c r="B103" s="934">
        <f>ANALISA!B1792</f>
        <v>92</v>
      </c>
      <c r="C103" s="915" t="str">
        <f>VLOOKUP($B103,ANALISA!$B$17:$V$2003,3,0)</f>
        <v>Memasang Lampu downlight LED Slim ukuran 5 watt" (nyala kuning)</v>
      </c>
      <c r="D103" s="916"/>
      <c r="E103" s="917"/>
      <c r="F103" s="918" t="str">
        <f>VLOOKUP($B103,ANALISA!$B$17:$V$2003,10,0)</f>
        <v>An. Dihitung</v>
      </c>
      <c r="G103" s="919">
        <f>VLOOKUP($B103,ANALISA!$B$17:$V$2003,15,0)</f>
        <v>73001.600000000006</v>
      </c>
      <c r="H103" s="918" t="str">
        <f>VLOOKUP($B103,ANALISA!$B$17:$V$2003,14,0)</f>
        <v>bh</v>
      </c>
      <c r="I103" s="920">
        <f>VLOOKUP($B103,ANALISA!$B$17:$V$2000,16,0)</f>
        <v>0.15618287818349186</v>
      </c>
      <c r="J103" s="919">
        <f>VLOOKUP($B103,ANALISA!$B$17:$V$2000,18,0)</f>
        <v>0</v>
      </c>
      <c r="K103" s="921"/>
      <c r="M103" s="924"/>
      <c r="N103" s="923"/>
    </row>
    <row r="104" spans="2:14" s="912" customFormat="1" ht="15" hidden="1" customHeight="1">
      <c r="B104" s="934">
        <f>ANALISA!B1810</f>
        <v>93</v>
      </c>
      <c r="C104" s="915" t="str">
        <f>VLOOKUP($B104,ANALISA!$B$17:$V$2003,3,0)</f>
        <v>Memasang Lampu SL LED 14 watt"</v>
      </c>
      <c r="D104" s="916"/>
      <c r="E104" s="917"/>
      <c r="F104" s="918" t="str">
        <f>VLOOKUP($B104,ANALISA!$B$17:$V$2003,10,0)</f>
        <v>An. Dihitung</v>
      </c>
      <c r="G104" s="919">
        <f>VLOOKUP($B104,ANALISA!$B$17:$V$2003,15,0)</f>
        <v>84201.600000000006</v>
      </c>
      <c r="H104" s="918" t="str">
        <f>VLOOKUP($B104,ANALISA!$B$17:$V$2003,14,0)</f>
        <v>bh</v>
      </c>
      <c r="I104" s="920">
        <f>VLOOKUP($B104,ANALISA!$B$17:$V$2000,16,0)</f>
        <v>0.13540835328544826</v>
      </c>
      <c r="J104" s="919">
        <f>VLOOKUP($B104,ANALISA!$B$17:$V$2000,18,0)</f>
        <v>0</v>
      </c>
      <c r="K104" s="921"/>
      <c r="M104" s="924"/>
      <c r="N104" s="923"/>
    </row>
    <row r="105" spans="2:14" s="912" customFormat="1" ht="15" hidden="1" customHeight="1">
      <c r="B105" s="934">
        <f>ANALISA!B1829</f>
        <v>94</v>
      </c>
      <c r="C105" s="915" t="str">
        <f>VLOOKUP($B105,ANALISA!$B$17:$V$2003,3,0)</f>
        <v>Memasang lampu LED  strip</v>
      </c>
      <c r="D105" s="916"/>
      <c r="E105" s="917"/>
      <c r="F105" s="918" t="str">
        <f>VLOOKUP($B105,ANALISA!$B$17:$V$2003,10,0)</f>
        <v>An. Dihitung</v>
      </c>
      <c r="G105" s="919">
        <f>VLOOKUP($B105,ANALISA!$B$17:$V$2003,15,0)</f>
        <v>24841.599999999999</v>
      </c>
      <c r="H105" s="918" t="str">
        <f>VLOOKUP($B105,ANALISA!$B$17:$V$2003,14,0)</f>
        <v>m'</v>
      </c>
      <c r="I105" s="920">
        <f>VLOOKUP($B105,ANALISA!$B$17:$V$2000,16,0)</f>
        <v>0.45897204688908927</v>
      </c>
      <c r="J105" s="919">
        <f>VLOOKUP($B105,ANALISA!$B$17:$V$2000,18,0)</f>
        <v>0</v>
      </c>
      <c r="K105" s="921"/>
      <c r="M105" s="924"/>
      <c r="N105" s="923"/>
    </row>
    <row r="106" spans="2:14" s="912" customFormat="1" ht="15" hidden="1" customHeight="1">
      <c r="B106" s="934">
        <f>ANALISA!B1847</f>
        <v>95</v>
      </c>
      <c r="C106" s="915" t="str">
        <f>VLOOKUP($B106,ANALISA!$B$17:$V$2003,3,0)</f>
        <v>Memasang paving tb. 8 cm, K.250, polos</v>
      </c>
      <c r="D106" s="916"/>
      <c r="E106" s="917"/>
      <c r="F106" s="918" t="str">
        <f>VLOOKUP($B106,ANALISA!$B$17:$V$2003,10,0)</f>
        <v>An. Dihitung</v>
      </c>
      <c r="G106" s="919">
        <f>VLOOKUP($B106,ANALISA!$B$17:$V$2003,15,0)</f>
        <v>208611.20000000001</v>
      </c>
      <c r="H106" s="918" t="str">
        <f>VLOOKUP($B106,ANALISA!$B$17:$V$2003,14,0)</f>
        <v>m2</v>
      </c>
      <c r="I106" s="920">
        <f>VLOOKUP($B106,ANALISA!$B$17:$V$2000,16,0)</f>
        <v>0.8281971437775153</v>
      </c>
      <c r="J106" s="919">
        <f>VLOOKUP($B106,ANALISA!$B$17:$V$2000,18,0)</f>
        <v>0</v>
      </c>
      <c r="K106" s="921"/>
      <c r="M106" s="924"/>
      <c r="N106" s="923"/>
    </row>
    <row r="107" spans="2:14" s="912" customFormat="1" ht="15" hidden="1" customHeight="1">
      <c r="B107" s="934">
        <f>ANALISA!B1866</f>
        <v>96</v>
      </c>
      <c r="C107" s="915" t="str">
        <f>VLOOKUP($B107,ANALISA!$B$17:$V$2003,3,0)</f>
        <v>Memasang saluran U.20 cm</v>
      </c>
      <c r="D107" s="916"/>
      <c r="E107" s="917"/>
      <c r="F107" s="918" t="str">
        <f>VLOOKUP($B107,ANALISA!$B$17:$V$2003,10,0)</f>
        <v>A.5.1.1.35b.</v>
      </c>
      <c r="G107" s="919">
        <f>VLOOKUP($B107,ANALISA!$B$17:$V$2003,15,0)</f>
        <v>205206.39999999999</v>
      </c>
      <c r="H107" s="918" t="str">
        <f>VLOOKUP($B107,ANALISA!$B$17:$V$2003,14,0)</f>
        <v>m'</v>
      </c>
      <c r="I107" s="920">
        <f>VLOOKUP($B107,ANALISA!$B$17:$V$2000,16,0)</f>
        <v>0.99722254884837902</v>
      </c>
      <c r="J107" s="919">
        <f>VLOOKUP($B107,ANALISA!$B$17:$V$2000,18,0)</f>
        <v>0</v>
      </c>
      <c r="K107" s="921"/>
      <c r="M107" s="924"/>
      <c r="N107" s="923"/>
    </row>
    <row r="108" spans="2:14" s="912" customFormat="1" ht="15" customHeight="1">
      <c r="B108" s="934">
        <f>ANALISA!B1890</f>
        <v>97</v>
      </c>
      <c r="C108" s="915" t="str">
        <f>VLOOKUP($B108,ANALISA!$B$17:$V$2003,3,0)</f>
        <v>Memasang dinding terawang ( roster ) camp  1 PC : 4 PP</v>
      </c>
      <c r="D108" s="916"/>
      <c r="E108" s="917"/>
      <c r="F108" s="918" t="str">
        <f>VLOOKUP($B108,ANALISA!$B$17:$V$2003,10,0)</f>
        <v>A.4.4.1.23.</v>
      </c>
      <c r="G108" s="919">
        <f>VLOOKUP($B108,ANALISA!$B$17:$V$2003,15,0)</f>
        <v>464895.2</v>
      </c>
      <c r="H108" s="918" t="str">
        <f>VLOOKUP($B108,ANALISA!$B$17:$V$2003,14,0)</f>
        <v>m2</v>
      </c>
      <c r="I108" s="920">
        <f>VLOOKUP($B108,ANALISA!$B$17:$V$2000,16,0)</f>
        <v>0.99655975884457404</v>
      </c>
      <c r="J108" s="919">
        <f>VLOOKUP($B108,ANALISA!$B$17:$V$2000,18,0)</f>
        <v>0</v>
      </c>
      <c r="K108" s="921"/>
      <c r="M108" s="924"/>
      <c r="N108" s="923"/>
    </row>
    <row r="109" spans="2:14" s="912" customFormat="1" ht="15" hidden="1" customHeight="1">
      <c r="B109" s="934">
        <f>ANALISA!B1911</f>
        <v>98</v>
      </c>
      <c r="C109" s="915" t="str">
        <f>VLOOKUP($B109,ANALISA!$B$17:$V$2003,3,0)</f>
        <v xml:space="preserve">Pasang batu andesit </v>
      </c>
      <c r="D109" s="916"/>
      <c r="E109" s="917"/>
      <c r="F109" s="918" t="str">
        <f>VLOOKUP($B109,ANALISA!$B$17:$V$2003,10,0)</f>
        <v>A.4.4.3.58b.</v>
      </c>
      <c r="G109" s="919">
        <f>VLOOKUP($B109,ANALISA!$B$17:$V$2003,15,0)</f>
        <v>341055.4</v>
      </c>
      <c r="H109" s="918" t="str">
        <f>VLOOKUP($B109,ANALISA!$B$17:$V$2003,14,0)</f>
        <v>m2</v>
      </c>
      <c r="I109" s="920">
        <f>VLOOKUP($B109,ANALISA!$B$17:$V$2000,16,0)</f>
        <v>0.99499084811441196</v>
      </c>
      <c r="J109" s="919">
        <f>VLOOKUP($B109,ANALISA!$B$17:$V$2000,18,0)</f>
        <v>0</v>
      </c>
      <c r="K109" s="921"/>
      <c r="M109" s="924"/>
      <c r="N109" s="923"/>
    </row>
    <row r="110" spans="2:14" s="912" customFormat="1" ht="15" hidden="1" customHeight="1">
      <c r="B110" s="934">
        <f>ANALISA!B1931</f>
        <v>99</v>
      </c>
      <c r="C110" s="915" t="str">
        <f>VLOOKUP($B110,ANALISA!$B$17:$V$2003,3,0)</f>
        <v>Pasang batu lempeng tdk beraturan tanpa nat</v>
      </c>
      <c r="D110" s="916"/>
      <c r="E110" s="917"/>
      <c r="F110" s="918" t="str">
        <f>VLOOKUP($B110,ANALISA!$B$17:$V$2003,10,0)</f>
        <v>A.4.4.3.58a.</v>
      </c>
      <c r="G110" s="919">
        <f>VLOOKUP($B110,ANALISA!$B$17:$V$2003,15,0)</f>
        <v>258735.4</v>
      </c>
      <c r="H110" s="918" t="str">
        <f>VLOOKUP($B110,ANALISA!$B$17:$V$2003,14,0)</f>
        <v>m2</v>
      </c>
      <c r="I110" s="920">
        <f>VLOOKUP($B110,ANALISA!$B$17:$V$2000,16,0)</f>
        <v>0.99339712192456076</v>
      </c>
      <c r="J110" s="919">
        <f>VLOOKUP($B110,ANALISA!$B$17:$V$2000,18,0)</f>
        <v>0</v>
      </c>
      <c r="K110" s="921"/>
      <c r="M110" s="924"/>
      <c r="N110" s="923"/>
    </row>
    <row r="111" spans="2:14" s="912" customFormat="1" ht="15" hidden="1" customHeight="1">
      <c r="B111" s="934">
        <f>ANALISA!B1951</f>
        <v>100</v>
      </c>
      <c r="C111" s="915" t="str">
        <f>VLOOKUP($B111,ANALISA!$B$17:$V$2003,3,0)</f>
        <v>Pasangan ACP Seven PVDF Outdoor</v>
      </c>
      <c r="D111" s="916"/>
      <c r="E111" s="917"/>
      <c r="F111" s="918" t="str">
        <f>VLOOKUP($B111,ANALISA!$B$17:$V$2003,10,0)</f>
        <v>An. Dihitung</v>
      </c>
      <c r="G111" s="919">
        <f>VLOOKUP($B111,ANALISA!$B$17:$V$2003,15,0)</f>
        <v>756017.04999999993</v>
      </c>
      <c r="H111" s="918" t="str">
        <f>VLOOKUP($B111,ANALISA!$B$17:$V$2003,14,0)</f>
        <v>m2</v>
      </c>
      <c r="I111" s="920">
        <f>VLOOKUP($B111,ANALISA!$B$17:$V$2000,16,0)</f>
        <v>0.1905823693871673</v>
      </c>
      <c r="J111" s="919">
        <f>VLOOKUP($B111,ANALISA!$B$17:$V$2000,18,0)</f>
        <v>0</v>
      </c>
      <c r="K111" s="921"/>
      <c r="M111" s="924"/>
      <c r="N111" s="923"/>
    </row>
    <row r="112" spans="2:14" s="912" customFormat="1" ht="15" hidden="1" customHeight="1">
      <c r="B112" s="934">
        <f>ANALISA!B1976</f>
        <v>101</v>
      </c>
      <c r="C112" s="915" t="s">
        <v>701</v>
      </c>
      <c r="D112" s="916"/>
      <c r="E112" s="917"/>
      <c r="F112" s="918" t="str">
        <f>VLOOKUP($B112,ANALISA!$B$17:$V$2003,10,0)</f>
        <v>An. Dihitung</v>
      </c>
      <c r="G112" s="919">
        <f>VLOOKUP($B112,ANALISA!$B$17:$V$2003,15,0)</f>
        <v>1684.48</v>
      </c>
      <c r="H112" s="918" t="str">
        <f>VLOOKUP($B112,ANALISA!$B$17:$V$2003,14,0)</f>
        <v>VA</v>
      </c>
      <c r="I112" s="920">
        <f>VLOOKUP($B112,ANALISA!$B$17:$V$2000,16,0)</f>
        <v>1</v>
      </c>
      <c r="J112" s="919">
        <f>VLOOKUP($B112,ANALISA!$B$17:$V$2000,18,0)</f>
        <v>0</v>
      </c>
      <c r="K112" s="921"/>
      <c r="M112" s="924"/>
      <c r="N112" s="923"/>
    </row>
    <row r="113" spans="2:18" s="912" customFormat="1" ht="15" hidden="1" customHeight="1">
      <c r="B113" s="934">
        <f>B112+1</f>
        <v>102</v>
      </c>
      <c r="C113" s="915" t="s">
        <v>417</v>
      </c>
      <c r="D113" s="916"/>
      <c r="E113" s="917"/>
      <c r="F113" s="918" t="s">
        <v>58</v>
      </c>
      <c r="G113" s="919">
        <v>550000</v>
      </c>
      <c r="H113" s="918" t="s">
        <v>32</v>
      </c>
      <c r="I113" s="920">
        <v>0.1</v>
      </c>
      <c r="J113" s="919">
        <f>G113*I113</f>
        <v>55000</v>
      </c>
      <c r="K113" s="921"/>
      <c r="M113" s="924"/>
      <c r="N113" s="923"/>
    </row>
    <row r="114" spans="2:18" s="912" customFormat="1" ht="15" hidden="1" customHeight="1">
      <c r="B114" s="934">
        <f>B113+1</f>
        <v>103</v>
      </c>
      <c r="C114" s="915" t="s">
        <v>316</v>
      </c>
      <c r="D114" s="916"/>
      <c r="E114" s="917"/>
      <c r="F114" s="918" t="s">
        <v>122</v>
      </c>
      <c r="G114" s="919">
        <f>'K-3'!J25</f>
        <v>3608000</v>
      </c>
      <c r="H114" s="918" t="s">
        <v>49</v>
      </c>
      <c r="I114" s="920">
        <f>'K-3'!K23</f>
        <v>0.70121951219512191</v>
      </c>
      <c r="J114" s="919">
        <f>'K-3'!M23</f>
        <v>2300000</v>
      </c>
      <c r="K114" s="921"/>
      <c r="M114" s="924"/>
      <c r="N114" s="923"/>
    </row>
    <row r="115" spans="2:18" s="912" customFormat="1" ht="15" customHeight="1">
      <c r="B115" s="934">
        <f>B114+1</f>
        <v>104</v>
      </c>
      <c r="C115" s="915" t="s">
        <v>206</v>
      </c>
      <c r="D115" s="916"/>
      <c r="E115" s="917"/>
      <c r="F115" s="918" t="s">
        <v>211</v>
      </c>
      <c r="G115" s="919">
        <v>15000</v>
      </c>
      <c r="H115" s="918" t="s">
        <v>32</v>
      </c>
      <c r="I115" s="920">
        <v>0.5</v>
      </c>
      <c r="J115" s="919">
        <f t="shared" ref="J115:J121" si="0">G115*I115</f>
        <v>7500</v>
      </c>
      <c r="K115" s="921"/>
      <c r="M115" s="924"/>
      <c r="N115" s="923"/>
    </row>
    <row r="116" spans="2:18" s="912" customFormat="1" ht="15" hidden="1" customHeight="1">
      <c r="B116" s="934">
        <f t="shared" ref="B116:B120" si="1">B115+1</f>
        <v>105</v>
      </c>
      <c r="C116" s="915" t="s">
        <v>641</v>
      </c>
      <c r="D116" s="916"/>
      <c r="E116" s="917"/>
      <c r="F116" s="918" t="s">
        <v>211</v>
      </c>
      <c r="G116" s="919">
        <v>55000</v>
      </c>
      <c r="H116" s="918" t="s">
        <v>45</v>
      </c>
      <c r="I116" s="920">
        <v>0.75</v>
      </c>
      <c r="J116" s="919">
        <f t="shared" si="0"/>
        <v>41250</v>
      </c>
      <c r="K116" s="921"/>
      <c r="M116" s="924"/>
      <c r="N116" s="923"/>
    </row>
    <row r="117" spans="2:18" s="912" customFormat="1" ht="15" hidden="1" customHeight="1">
      <c r="B117" s="934">
        <f t="shared" si="1"/>
        <v>106</v>
      </c>
      <c r="C117" s="915" t="s">
        <v>642</v>
      </c>
      <c r="D117" s="916"/>
      <c r="E117" s="917"/>
      <c r="F117" s="918" t="s">
        <v>211</v>
      </c>
      <c r="G117" s="919">
        <v>65000</v>
      </c>
      <c r="H117" s="918" t="s">
        <v>45</v>
      </c>
      <c r="I117" s="920">
        <v>0.75</v>
      </c>
      <c r="J117" s="919">
        <f t="shared" ref="J117" si="2">G117*I117</f>
        <v>48750</v>
      </c>
      <c r="K117" s="921"/>
      <c r="M117" s="924"/>
      <c r="N117" s="923"/>
    </row>
    <row r="118" spans="2:18" s="912" customFormat="1" ht="15" customHeight="1">
      <c r="B118" s="934">
        <f t="shared" si="1"/>
        <v>107</v>
      </c>
      <c r="C118" s="915" t="s">
        <v>690</v>
      </c>
      <c r="D118" s="916"/>
      <c r="E118" s="917"/>
      <c r="F118" s="918" t="s">
        <v>211</v>
      </c>
      <c r="G118" s="919">
        <v>180000</v>
      </c>
      <c r="H118" s="918" t="s">
        <v>100</v>
      </c>
      <c r="I118" s="920">
        <v>0.47889999999999999</v>
      </c>
      <c r="J118" s="919">
        <f t="shared" si="0"/>
        <v>86202</v>
      </c>
      <c r="K118" s="921"/>
      <c r="M118" s="924">
        <v>45100000</v>
      </c>
      <c r="N118" s="923">
        <v>173</v>
      </c>
      <c r="O118" s="912">
        <f>M118/N118</f>
        <v>260693.64161849712</v>
      </c>
      <c r="P118" s="912">
        <v>0.12</v>
      </c>
      <c r="Q118" s="912">
        <f>P118*O118</f>
        <v>31283.236994219653</v>
      </c>
      <c r="R118" s="924">
        <f>Q118+O118</f>
        <v>291976.8786127168</v>
      </c>
    </row>
    <row r="119" spans="2:18" s="912" customFormat="1" ht="15" hidden="1" customHeight="1">
      <c r="B119" s="934">
        <f t="shared" si="1"/>
        <v>108</v>
      </c>
      <c r="C119" s="915" t="s">
        <v>315</v>
      </c>
      <c r="D119" s="916"/>
      <c r="E119" s="917"/>
      <c r="F119" s="918" t="s">
        <v>211</v>
      </c>
      <c r="G119" s="919">
        <v>50000</v>
      </c>
      <c r="H119" s="918" t="s">
        <v>32</v>
      </c>
      <c r="I119" s="920">
        <v>0.1</v>
      </c>
      <c r="J119" s="919">
        <f t="shared" si="0"/>
        <v>5000</v>
      </c>
      <c r="K119" s="921"/>
      <c r="M119" s="924"/>
      <c r="N119" s="923"/>
    </row>
    <row r="120" spans="2:18" s="912" customFormat="1" ht="15" customHeight="1">
      <c r="B120" s="934">
        <f t="shared" si="1"/>
        <v>109</v>
      </c>
      <c r="C120" s="915" t="s">
        <v>702</v>
      </c>
      <c r="D120" s="916"/>
      <c r="E120" s="917"/>
      <c r="F120" s="918" t="s">
        <v>211</v>
      </c>
      <c r="G120" s="919">
        <v>3400000</v>
      </c>
      <c r="H120" s="918" t="s">
        <v>45</v>
      </c>
      <c r="I120" s="920">
        <v>0.1</v>
      </c>
      <c r="J120" s="919">
        <f t="shared" si="0"/>
        <v>340000</v>
      </c>
      <c r="K120" s="921"/>
      <c r="M120" s="924"/>
      <c r="N120" s="923"/>
    </row>
    <row r="121" spans="2:18" s="912" customFormat="1" ht="15" hidden="1" customHeight="1">
      <c r="B121" s="934">
        <f>B120+1</f>
        <v>110</v>
      </c>
      <c r="C121" s="915" t="s">
        <v>704</v>
      </c>
      <c r="D121" s="916"/>
      <c r="E121" s="917"/>
      <c r="F121" s="918" t="s">
        <v>211</v>
      </c>
      <c r="G121" s="919">
        <v>2300000</v>
      </c>
      <c r="H121" s="918" t="s">
        <v>45</v>
      </c>
      <c r="I121" s="920">
        <v>0.1</v>
      </c>
      <c r="J121" s="919">
        <f t="shared" si="0"/>
        <v>230000</v>
      </c>
      <c r="K121" s="921"/>
      <c r="M121" s="924"/>
      <c r="N121" s="923"/>
    </row>
    <row r="122" spans="2:18" s="912" customFormat="1" ht="15" hidden="1" customHeight="1">
      <c r="B122" s="934">
        <f t="shared" ref="B122:B125" si="3">B121+1</f>
        <v>111</v>
      </c>
      <c r="C122" s="915" t="s">
        <v>672</v>
      </c>
      <c r="D122" s="916"/>
      <c r="E122" s="917"/>
      <c r="F122" s="918" t="s">
        <v>211</v>
      </c>
      <c r="G122" s="919">
        <v>650000</v>
      </c>
      <c r="H122" s="918" t="s">
        <v>45</v>
      </c>
      <c r="I122" s="920">
        <v>0.1</v>
      </c>
      <c r="J122" s="919">
        <f t="shared" ref="J122" si="4">G122*I122</f>
        <v>65000</v>
      </c>
      <c r="K122" s="921"/>
      <c r="M122" s="924"/>
      <c r="N122" s="923"/>
    </row>
    <row r="123" spans="2:18" s="912" customFormat="1" ht="15" hidden="1" customHeight="1">
      <c r="B123" s="934">
        <f t="shared" si="3"/>
        <v>112</v>
      </c>
      <c r="C123" s="915" t="s">
        <v>673</v>
      </c>
      <c r="D123" s="916"/>
      <c r="E123" s="917"/>
      <c r="F123" s="918" t="s">
        <v>211</v>
      </c>
      <c r="G123" s="919">
        <v>230000</v>
      </c>
      <c r="H123" s="918" t="s">
        <v>45</v>
      </c>
      <c r="I123" s="920">
        <v>0.1</v>
      </c>
      <c r="J123" s="919">
        <f t="shared" ref="J123" si="5">G123*I123</f>
        <v>23000</v>
      </c>
      <c r="K123" s="921"/>
      <c r="M123" s="924"/>
      <c r="N123" s="923"/>
    </row>
    <row r="124" spans="2:18" s="912" customFormat="1" ht="15" hidden="1" customHeight="1">
      <c r="B124" s="934">
        <f t="shared" si="3"/>
        <v>113</v>
      </c>
      <c r="C124" s="915" t="s">
        <v>626</v>
      </c>
      <c r="D124" s="916"/>
      <c r="E124" s="917"/>
      <c r="F124" s="918" t="s">
        <v>211</v>
      </c>
      <c r="G124" s="919">
        <v>45000</v>
      </c>
      <c r="H124" s="918" t="s">
        <v>100</v>
      </c>
      <c r="I124" s="920">
        <v>0.1</v>
      </c>
      <c r="J124" s="919">
        <v>180000</v>
      </c>
      <c r="K124" s="921"/>
      <c r="M124" s="924"/>
      <c r="N124" s="923"/>
    </row>
    <row r="125" spans="2:18" s="912" customFormat="1" ht="15" hidden="1" customHeight="1">
      <c r="B125" s="934">
        <f t="shared" si="3"/>
        <v>114</v>
      </c>
      <c r="C125" s="915" t="s">
        <v>314</v>
      </c>
      <c r="D125" s="916"/>
      <c r="E125" s="917"/>
      <c r="F125" s="918" t="s">
        <v>211</v>
      </c>
      <c r="G125" s="919">
        <v>4500000</v>
      </c>
      <c r="H125" s="918" t="s">
        <v>51</v>
      </c>
      <c r="I125" s="920">
        <v>0.1</v>
      </c>
      <c r="J125" s="919">
        <f t="shared" ref="J125:J140" si="6">G125*I125</f>
        <v>450000</v>
      </c>
      <c r="K125" s="921"/>
      <c r="M125" s="924"/>
      <c r="N125" s="923"/>
    </row>
    <row r="126" spans="2:18" s="912" customFormat="1" ht="15" customHeight="1">
      <c r="B126" s="934">
        <f t="shared" ref="B126:B140" si="7">B125+1</f>
        <v>115</v>
      </c>
      <c r="C126" s="915" t="s">
        <v>317</v>
      </c>
      <c r="D126" s="916"/>
      <c r="E126" s="917"/>
      <c r="F126" s="918" t="s">
        <v>211</v>
      </c>
      <c r="G126" s="919">
        <v>25000</v>
      </c>
      <c r="H126" s="918" t="s">
        <v>32</v>
      </c>
      <c r="I126" s="920">
        <v>0.1</v>
      </c>
      <c r="J126" s="919">
        <f t="shared" si="6"/>
        <v>2500</v>
      </c>
      <c r="K126" s="921"/>
      <c r="M126" s="924"/>
      <c r="N126" s="923"/>
    </row>
    <row r="127" spans="2:18" s="912" customFormat="1" ht="15" customHeight="1">
      <c r="B127" s="934">
        <f t="shared" si="7"/>
        <v>116</v>
      </c>
      <c r="C127" s="915" t="s">
        <v>502</v>
      </c>
      <c r="D127" s="916"/>
      <c r="E127" s="917"/>
      <c r="F127" s="918" t="s">
        <v>211</v>
      </c>
      <c r="G127" s="919">
        <v>19000</v>
      </c>
      <c r="H127" s="918" t="s">
        <v>32</v>
      </c>
      <c r="I127" s="920">
        <v>0.1</v>
      </c>
      <c r="J127" s="919">
        <f t="shared" si="6"/>
        <v>1900</v>
      </c>
      <c r="K127" s="921"/>
      <c r="M127" s="924"/>
      <c r="N127" s="923"/>
    </row>
    <row r="128" spans="2:18" s="912" customFormat="1" ht="15" hidden="1" customHeight="1">
      <c r="B128" s="914">
        <f t="shared" si="7"/>
        <v>117</v>
      </c>
      <c r="C128" s="915" t="s">
        <v>703</v>
      </c>
      <c r="D128" s="916"/>
      <c r="E128" s="917"/>
      <c r="F128" s="918" t="s">
        <v>211</v>
      </c>
      <c r="G128" s="919">
        <v>2500000</v>
      </c>
      <c r="H128" s="918" t="s">
        <v>100</v>
      </c>
      <c r="I128" s="920">
        <v>0.1</v>
      </c>
      <c r="J128" s="919">
        <f t="shared" si="6"/>
        <v>250000</v>
      </c>
      <c r="K128" s="921"/>
      <c r="M128" s="924"/>
      <c r="N128" s="923"/>
    </row>
    <row r="129" spans="2:14" s="912" customFormat="1" ht="15" hidden="1" customHeight="1">
      <c r="B129" s="914">
        <f t="shared" si="7"/>
        <v>118</v>
      </c>
      <c r="C129" s="915" t="s">
        <v>627</v>
      </c>
      <c r="D129" s="916"/>
      <c r="E129" s="917"/>
      <c r="F129" s="918" t="s">
        <v>211</v>
      </c>
      <c r="G129" s="919">
        <v>330000</v>
      </c>
      <c r="H129" s="918" t="s">
        <v>32</v>
      </c>
      <c r="I129" s="920">
        <v>0.1</v>
      </c>
      <c r="J129" s="919">
        <f t="shared" ref="J129" si="8">G129*I129</f>
        <v>33000</v>
      </c>
      <c r="K129" s="921"/>
      <c r="M129" s="924"/>
      <c r="N129" s="923"/>
    </row>
    <row r="130" spans="2:14" s="912" customFormat="1" ht="15" hidden="1" customHeight="1">
      <c r="B130" s="914">
        <f t="shared" si="7"/>
        <v>119</v>
      </c>
      <c r="C130" s="915" t="s">
        <v>131</v>
      </c>
      <c r="D130" s="916"/>
      <c r="E130" s="917"/>
      <c r="F130" s="918" t="s">
        <v>211</v>
      </c>
      <c r="G130" s="919">
        <v>1000000</v>
      </c>
      <c r="H130" s="918" t="s">
        <v>49</v>
      </c>
      <c r="I130" s="920">
        <v>0.1</v>
      </c>
      <c r="J130" s="919">
        <f t="shared" si="6"/>
        <v>100000</v>
      </c>
      <c r="K130" s="921"/>
      <c r="M130" s="924" t="e">
        <f>#REF!</f>
        <v>#REF!</v>
      </c>
      <c r="N130" s="923"/>
    </row>
    <row r="131" spans="2:14" s="912" customFormat="1" ht="15" hidden="1" customHeight="1">
      <c r="B131" s="914">
        <f t="shared" si="7"/>
        <v>120</v>
      </c>
      <c r="C131" s="915" t="s">
        <v>550</v>
      </c>
      <c r="D131" s="916"/>
      <c r="E131" s="917"/>
      <c r="F131" s="918" t="s">
        <v>211</v>
      </c>
      <c r="G131" s="919">
        <v>35000</v>
      </c>
      <c r="H131" s="918" t="s">
        <v>100</v>
      </c>
      <c r="I131" s="920">
        <v>0.1</v>
      </c>
      <c r="J131" s="919">
        <f t="shared" si="6"/>
        <v>3500</v>
      </c>
      <c r="K131" s="921"/>
      <c r="M131" s="922"/>
      <c r="N131" s="923"/>
    </row>
    <row r="132" spans="2:14" s="912" customFormat="1" ht="15" hidden="1" customHeight="1">
      <c r="B132" s="914">
        <f t="shared" si="7"/>
        <v>121</v>
      </c>
      <c r="C132" s="915" t="s">
        <v>553</v>
      </c>
      <c r="D132" s="916"/>
      <c r="E132" s="917"/>
      <c r="F132" s="918" t="s">
        <v>211</v>
      </c>
      <c r="G132" s="925">
        <v>2250000</v>
      </c>
      <c r="H132" s="926" t="s">
        <v>49</v>
      </c>
      <c r="I132" s="927">
        <v>0.1</v>
      </c>
      <c r="J132" s="925">
        <f t="shared" ref="J132" si="9">G132*I132</f>
        <v>225000</v>
      </c>
      <c r="K132" s="921"/>
      <c r="M132" s="922"/>
      <c r="N132" s="923"/>
    </row>
    <row r="133" spans="2:14" s="912" customFormat="1" ht="15" hidden="1" customHeight="1">
      <c r="B133" s="914">
        <f t="shared" si="7"/>
        <v>122</v>
      </c>
      <c r="C133" s="915" t="s">
        <v>614</v>
      </c>
      <c r="D133" s="916"/>
      <c r="E133" s="917"/>
      <c r="F133" s="918" t="s">
        <v>211</v>
      </c>
      <c r="G133" s="925">
        <v>2054000</v>
      </c>
      <c r="H133" s="926" t="s">
        <v>45</v>
      </c>
      <c r="I133" s="927">
        <v>0.1</v>
      </c>
      <c r="J133" s="925">
        <f t="shared" ref="J133" si="10">G133*I133</f>
        <v>205400</v>
      </c>
      <c r="K133" s="921"/>
      <c r="M133" s="922"/>
      <c r="N133" s="923"/>
    </row>
    <row r="134" spans="2:14" s="912" customFormat="1" ht="15" hidden="1" customHeight="1">
      <c r="B134" s="914">
        <f t="shared" si="7"/>
        <v>123</v>
      </c>
      <c r="C134" s="915" t="s">
        <v>676</v>
      </c>
      <c r="D134" s="916"/>
      <c r="E134" s="917"/>
      <c r="F134" s="918" t="s">
        <v>211</v>
      </c>
      <c r="G134" s="925">
        <v>23000</v>
      </c>
      <c r="H134" s="926" t="s">
        <v>618</v>
      </c>
      <c r="I134" s="927">
        <v>0.1</v>
      </c>
      <c r="J134" s="925">
        <f t="shared" ref="J134" si="11">G134*I134</f>
        <v>2300</v>
      </c>
      <c r="K134" s="921"/>
      <c r="M134" s="922"/>
      <c r="N134" s="923"/>
    </row>
    <row r="135" spans="2:14" s="912" customFormat="1" ht="15" hidden="1" customHeight="1">
      <c r="B135" s="914">
        <f t="shared" si="7"/>
        <v>124</v>
      </c>
      <c r="C135" s="915" t="s">
        <v>649</v>
      </c>
      <c r="D135" s="916"/>
      <c r="E135" s="917"/>
      <c r="F135" s="918" t="s">
        <v>211</v>
      </c>
      <c r="G135" s="928">
        <v>690000</v>
      </c>
      <c r="H135" s="929" t="s">
        <v>100</v>
      </c>
      <c r="I135" s="930">
        <v>0.1</v>
      </c>
      <c r="J135" s="928">
        <f t="shared" ref="J135" si="12">G135*I135</f>
        <v>69000</v>
      </c>
      <c r="K135" s="921"/>
      <c r="M135" s="922"/>
      <c r="N135" s="923"/>
    </row>
    <row r="136" spans="2:14" s="912" customFormat="1" ht="15" hidden="1" customHeight="1">
      <c r="B136" s="914">
        <f t="shared" si="7"/>
        <v>125</v>
      </c>
      <c r="C136" s="915" t="s">
        <v>572</v>
      </c>
      <c r="D136" s="916"/>
      <c r="E136" s="917"/>
      <c r="F136" s="918" t="s">
        <v>211</v>
      </c>
      <c r="G136" s="931">
        <v>2250000</v>
      </c>
      <c r="H136" s="932" t="s">
        <v>51</v>
      </c>
      <c r="I136" s="933">
        <v>0.1</v>
      </c>
      <c r="J136" s="931">
        <f t="shared" ref="J136" si="13">G136*I136</f>
        <v>225000</v>
      </c>
      <c r="K136" s="921"/>
      <c r="M136" s="922"/>
      <c r="N136" s="923"/>
    </row>
    <row r="137" spans="2:14" s="912" customFormat="1" ht="15" hidden="1" customHeight="1">
      <c r="B137" s="914">
        <f t="shared" si="7"/>
        <v>126</v>
      </c>
      <c r="C137" s="915" t="s">
        <v>628</v>
      </c>
      <c r="D137" s="916"/>
      <c r="E137" s="917"/>
      <c r="F137" s="918" t="s">
        <v>211</v>
      </c>
      <c r="G137" s="931">
        <v>5500000</v>
      </c>
      <c r="H137" s="932" t="s">
        <v>51</v>
      </c>
      <c r="I137" s="933">
        <v>0.1</v>
      </c>
      <c r="J137" s="931">
        <f t="shared" ref="J137" si="14">G137*I137</f>
        <v>550000</v>
      </c>
      <c r="K137" s="921"/>
      <c r="M137" s="922"/>
      <c r="N137" s="923"/>
    </row>
    <row r="138" spans="2:14" s="912" customFormat="1" ht="15" hidden="1" customHeight="1">
      <c r="B138" s="914">
        <f t="shared" si="7"/>
        <v>127</v>
      </c>
      <c r="C138" s="915" t="s">
        <v>734</v>
      </c>
      <c r="D138" s="916"/>
      <c r="E138" s="917"/>
      <c r="F138" s="918" t="s">
        <v>211</v>
      </c>
      <c r="G138" s="931">
        <v>250000</v>
      </c>
      <c r="H138" s="932" t="s">
        <v>32</v>
      </c>
      <c r="I138" s="933">
        <v>0.1</v>
      </c>
      <c r="J138" s="931">
        <f t="shared" ref="J138" si="15">G138*I138</f>
        <v>25000</v>
      </c>
      <c r="K138" s="921"/>
      <c r="M138" s="922"/>
      <c r="N138" s="923"/>
    </row>
    <row r="139" spans="2:14" s="912" customFormat="1" ht="15" hidden="1" customHeight="1">
      <c r="B139" s="914">
        <f t="shared" si="7"/>
        <v>128</v>
      </c>
      <c r="C139" s="915" t="s">
        <v>650</v>
      </c>
      <c r="D139" s="916"/>
      <c r="E139" s="917"/>
      <c r="F139" s="918" t="s">
        <v>211</v>
      </c>
      <c r="G139" s="931">
        <v>1200000</v>
      </c>
      <c r="H139" s="932" t="s">
        <v>100</v>
      </c>
      <c r="I139" s="933">
        <v>0.1</v>
      </c>
      <c r="J139" s="931">
        <f t="shared" ref="J139" si="16">G139*I139</f>
        <v>120000</v>
      </c>
      <c r="K139" s="921"/>
      <c r="M139" s="922"/>
      <c r="N139" s="923"/>
    </row>
    <row r="140" spans="2:14" s="942" customFormat="1" ht="15" customHeight="1" thickBot="1">
      <c r="B140" s="945">
        <f t="shared" si="7"/>
        <v>129</v>
      </c>
      <c r="C140" s="935" t="s">
        <v>208</v>
      </c>
      <c r="D140" s="936"/>
      <c r="E140" s="937"/>
      <c r="F140" s="938" t="s">
        <v>211</v>
      </c>
      <c r="G140" s="939">
        <v>2500000</v>
      </c>
      <c r="H140" s="938" t="s">
        <v>49</v>
      </c>
      <c r="I140" s="940">
        <v>0.1</v>
      </c>
      <c r="J140" s="939">
        <f t="shared" si="6"/>
        <v>250000</v>
      </c>
      <c r="K140" s="941"/>
      <c r="M140" s="943"/>
      <c r="N140" s="944"/>
    </row>
    <row r="141" spans="2:14" s="912" customFormat="1" ht="15" customHeight="1">
      <c r="B141" s="913"/>
      <c r="M141" s="913"/>
    </row>
    <row r="142" spans="2:14" s="912" customFormat="1" ht="15" customHeight="1">
      <c r="B142" s="913"/>
      <c r="H142" s="488" t="str">
        <f>RAB!$K$134</f>
        <v>Karanganyar,    Februari 2025</v>
      </c>
      <c r="M142" s="913"/>
    </row>
    <row r="143" spans="2:14" ht="15" customHeight="1">
      <c r="H143" s="487" t="str">
        <f>RAB!$K$135</f>
        <v>PEJABAT PENANDATANGAN KONTRAK</v>
      </c>
    </row>
    <row r="144" spans="2:14" ht="15" customHeight="1">
      <c r="H144" s="487" t="str">
        <f>RAB!$K$136</f>
        <v>CAMAT JATEN</v>
      </c>
    </row>
    <row r="145" spans="7:8" ht="15" customHeight="1">
      <c r="H145" s="488"/>
    </row>
    <row r="146" spans="7:8" ht="15" customHeight="1">
      <c r="H146" s="488"/>
    </row>
    <row r="147" spans="7:8" ht="15" customHeight="1">
      <c r="H147" s="488"/>
    </row>
    <row r="148" spans="7:8" ht="15" customHeight="1">
      <c r="H148" s="488"/>
    </row>
    <row r="149" spans="7:8" ht="15" customHeight="1">
      <c r="H149" s="488"/>
    </row>
    <row r="150" spans="7:8" ht="15" customHeight="1">
      <c r="H150" s="772" t="str">
        <f>RAB!$K$142</f>
        <v>JULI PADMI HANDATANI, S.Sos., M.M</v>
      </c>
    </row>
    <row r="151" spans="7:8" ht="15" customHeight="1">
      <c r="G151" s="912"/>
      <c r="H151" s="488" t="str">
        <f>RAB!$K$143</f>
        <v>NIP. 197407 15199503 2 004</v>
      </c>
    </row>
    <row r="152" spans="7:8" ht="15" customHeight="1">
      <c r="G152" s="912"/>
    </row>
  </sheetData>
  <mergeCells count="2">
    <mergeCell ref="C10:E10"/>
    <mergeCell ref="B2:K2"/>
  </mergeCells>
  <pageMargins left="0.7" right="0.7" top="0.75" bottom="0.75" header="0.3" footer="0.3"/>
  <pageSetup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Y2003"/>
  <sheetViews>
    <sheetView tabSelected="1" view="pageBreakPreview" topLeftCell="I1900" zoomScaleNormal="85" zoomScaleSheetLayoutView="100" workbookViewId="0">
      <selection activeCell="J1906" sqref="J1906"/>
    </sheetView>
  </sheetViews>
  <sheetFormatPr defaultColWidth="9.140625" defaultRowHeight="14.25"/>
  <cols>
    <col min="1" max="1" width="3.7109375" style="506" customWidth="1"/>
    <col min="2" max="2" width="6.5703125" style="952" customWidth="1"/>
    <col min="3" max="3" width="5.7109375" style="506" customWidth="1"/>
    <col min="4" max="4" width="15.7109375" style="506" customWidth="1"/>
    <col min="5" max="5" width="16.7109375" style="506" customWidth="1"/>
    <col min="6" max="7" width="8.7109375" style="506" customWidth="1"/>
    <col min="8" max="8" width="8.7109375" style="651" customWidth="1"/>
    <col min="9" max="10" width="13.7109375" style="506" customWidth="1"/>
    <col min="11" max="11" width="15.7109375" style="506" customWidth="1"/>
    <col min="12" max="12" width="10.7109375" style="506" customWidth="1"/>
    <col min="13" max="13" width="18.28515625" style="506" customWidth="1"/>
    <col min="14" max="14" width="13.7109375" style="506" customWidth="1"/>
    <col min="15" max="15" width="3.7109375" style="506" customWidth="1"/>
    <col min="16" max="16" width="17.140625" style="506" bestFit="1" customWidth="1"/>
    <col min="17" max="17" width="14" style="506" customWidth="1"/>
    <col min="18" max="18" width="14" style="540" customWidth="1"/>
    <col min="19" max="21" width="14" style="506" customWidth="1"/>
    <col min="22" max="22" width="16.140625" style="506" customWidth="1"/>
    <col min="23" max="23" width="17" style="506" customWidth="1"/>
    <col min="24" max="24" width="15.85546875" style="506" customWidth="1"/>
    <col min="25" max="25" width="9.28515625" style="506" bestFit="1" customWidth="1"/>
    <col min="26" max="26" width="12" style="506" bestFit="1" customWidth="1"/>
    <col min="27" max="30" width="9.28515625" style="506" bestFit="1" customWidth="1"/>
    <col min="31" max="16384" width="9.140625" style="506"/>
  </cols>
  <sheetData>
    <row r="1" spans="2:25" s="298" customFormat="1">
      <c r="B1" s="946"/>
      <c r="H1" s="302"/>
      <c r="J1" s="302"/>
      <c r="O1" s="302"/>
      <c r="R1" s="484"/>
    </row>
    <row r="2" spans="2:25" s="485" customFormat="1" ht="18">
      <c r="B2" s="996" t="s">
        <v>302</v>
      </c>
      <c r="C2" s="996"/>
      <c r="D2" s="996"/>
      <c r="E2" s="996"/>
      <c r="F2" s="996"/>
      <c r="G2" s="996"/>
      <c r="H2" s="996"/>
      <c r="I2" s="996"/>
      <c r="J2" s="996"/>
      <c r="K2" s="996"/>
      <c r="L2" s="996"/>
      <c r="M2" s="996"/>
      <c r="N2" s="996"/>
      <c r="R2" s="486"/>
    </row>
    <row r="3" spans="2:25" s="485" customFormat="1" ht="18">
      <c r="B3" s="996" t="s">
        <v>730</v>
      </c>
      <c r="C3" s="996"/>
      <c r="D3" s="996"/>
      <c r="E3" s="996"/>
      <c r="F3" s="996"/>
      <c r="G3" s="996"/>
      <c r="H3" s="996"/>
      <c r="I3" s="996"/>
      <c r="J3" s="996"/>
      <c r="K3" s="996"/>
      <c r="L3" s="996"/>
      <c r="M3" s="996"/>
      <c r="N3" s="996"/>
      <c r="R3" s="486"/>
    </row>
    <row r="4" spans="2:25" s="485" customFormat="1" ht="18" hidden="1">
      <c r="B4" s="996"/>
      <c r="C4" s="996"/>
      <c r="D4" s="996"/>
      <c r="E4" s="996"/>
      <c r="F4" s="996"/>
      <c r="G4" s="996"/>
      <c r="H4" s="996"/>
      <c r="I4" s="996"/>
      <c r="J4" s="996"/>
      <c r="K4" s="996"/>
      <c r="L4" s="896"/>
      <c r="M4" s="896"/>
      <c r="N4" s="896"/>
      <c r="R4" s="486"/>
    </row>
    <row r="5" spans="2:25" s="485" customFormat="1" ht="18" hidden="1">
      <c r="B5" s="954"/>
      <c r="C5" s="896"/>
      <c r="D5" s="896"/>
      <c r="E5" s="896"/>
      <c r="F5" s="896"/>
      <c r="G5" s="896"/>
      <c r="H5" s="896"/>
      <c r="I5" s="896"/>
      <c r="J5" s="896"/>
      <c r="K5" s="896"/>
      <c r="L5" s="896"/>
      <c r="M5" s="896"/>
      <c r="N5" s="896"/>
      <c r="R5" s="486"/>
    </row>
    <row r="6" spans="2:25" s="485" customFormat="1" ht="18" hidden="1">
      <c r="B6" s="954"/>
      <c r="C6" s="896"/>
      <c r="D6" s="896"/>
      <c r="E6" s="896"/>
      <c r="F6" s="896"/>
      <c r="G6" s="896"/>
      <c r="H6" s="896"/>
      <c r="I6" s="896"/>
      <c r="J6" s="896"/>
      <c r="K6" s="896"/>
      <c r="L6" s="896"/>
      <c r="M6" s="896"/>
      <c r="N6" s="896"/>
      <c r="R6" s="486"/>
    </row>
    <row r="7" spans="2:25" s="485" customFormat="1" ht="18" hidden="1">
      <c r="B7" s="954"/>
      <c r="C7" s="896"/>
      <c r="D7" s="896"/>
      <c r="E7" s="896"/>
      <c r="F7" s="896"/>
      <c r="G7" s="896"/>
      <c r="H7" s="896"/>
      <c r="I7" s="896"/>
      <c r="J7" s="896"/>
      <c r="K7" s="896"/>
      <c r="L7" s="896"/>
      <c r="M7" s="896"/>
      <c r="N7" s="896"/>
      <c r="R7" s="486"/>
    </row>
    <row r="8" spans="2:25" s="485" customFormat="1" ht="14.1" customHeight="1">
      <c r="B8" s="996" t="s">
        <v>303</v>
      </c>
      <c r="C8" s="996"/>
      <c r="D8" s="996"/>
      <c r="E8" s="996"/>
      <c r="F8" s="996"/>
      <c r="G8" s="996"/>
      <c r="H8" s="996"/>
      <c r="I8" s="996"/>
      <c r="J8" s="996"/>
      <c r="K8" s="996"/>
      <c r="L8" s="996"/>
      <c r="M8" s="996"/>
      <c r="N8" s="996"/>
      <c r="R8" s="486"/>
    </row>
    <row r="9" spans="2:25" s="485" customFormat="1" ht="14.1" hidden="1" customHeight="1">
      <c r="B9" s="947"/>
      <c r="C9" s="487"/>
      <c r="D9" s="487"/>
      <c r="E9" s="487"/>
      <c r="F9" s="487"/>
      <c r="G9" s="487"/>
      <c r="H9" s="487"/>
      <c r="I9" s="487"/>
      <c r="J9" s="487"/>
      <c r="K9" s="487"/>
      <c r="L9" s="487"/>
      <c r="M9" s="487"/>
      <c r="N9" s="487"/>
      <c r="R9" s="486"/>
    </row>
    <row r="10" spans="2:25" s="485" customFormat="1" ht="14.1" customHeight="1">
      <c r="B10" s="948"/>
      <c r="H10" s="488"/>
      <c r="R10" s="486"/>
    </row>
    <row r="11" spans="2:25" s="298" customFormat="1" ht="17.100000000000001" customHeight="1">
      <c r="B11" s="949"/>
      <c r="C11" s="583" t="str">
        <f>HGR.SAT!B4</f>
        <v>PEKERJAAN</v>
      </c>
      <c r="D11" s="584"/>
      <c r="E11" s="585" t="str">
        <f>HGR.SAT!D4</f>
        <v>:</v>
      </c>
      <c r="F11" s="583" t="str">
        <f>HGR.SAT!E4</f>
        <v>BELANJA MODAL BANGUNAN TEMPAT IBADAH</v>
      </c>
      <c r="H11" s="302"/>
      <c r="I11" s="586"/>
      <c r="J11" s="582"/>
      <c r="K11" s="582"/>
      <c r="L11" s="582"/>
      <c r="M11" s="582"/>
      <c r="N11" s="582"/>
      <c r="O11" s="582"/>
      <c r="P11" s="582"/>
      <c r="Q11" s="582"/>
      <c r="R11" s="489"/>
      <c r="S11" s="582"/>
      <c r="T11" s="582"/>
      <c r="U11" s="582"/>
      <c r="V11" s="582"/>
      <c r="W11" s="582"/>
      <c r="X11" s="582"/>
      <c r="Y11" s="302"/>
    </row>
    <row r="12" spans="2:25" s="298" customFormat="1" ht="17.100000000000001" customHeight="1">
      <c r="B12" s="950"/>
      <c r="C12" s="583" t="str">
        <f>HGR.SAT!B5</f>
        <v>L O K A S I</v>
      </c>
      <c r="D12" s="584"/>
      <c r="E12" s="585" t="str">
        <f>HGR.SAT!D5</f>
        <v>:</v>
      </c>
      <c r="F12" s="583" t="str">
        <f>HGR.SAT!E5</f>
        <v>KECAMATAN JATEN</v>
      </c>
      <c r="H12" s="302"/>
      <c r="I12" s="586"/>
      <c r="J12" s="302"/>
      <c r="O12" s="302"/>
      <c r="R12" s="484"/>
      <c r="W12" s="588"/>
    </row>
    <row r="13" spans="2:25" s="298" customFormat="1" ht="17.100000000000001" customHeight="1">
      <c r="B13" s="950"/>
      <c r="C13" s="583" t="str">
        <f>HGR.SAT!B6</f>
        <v>KABUPATEN</v>
      </c>
      <c r="D13" s="584"/>
      <c r="E13" s="585" t="str">
        <f>HGR.SAT!D6</f>
        <v>:</v>
      </c>
      <c r="F13" s="583" t="str">
        <f>HGR.SAT!E6</f>
        <v>KARANGANYAR</v>
      </c>
      <c r="H13" s="302"/>
      <c r="I13" s="586"/>
      <c r="J13" s="302"/>
      <c r="O13" s="302"/>
      <c r="R13" s="484"/>
      <c r="W13" s="588"/>
    </row>
    <row r="14" spans="2:25" s="298" customFormat="1" ht="17.100000000000001" customHeight="1">
      <c r="B14" s="950"/>
      <c r="C14" s="583" t="str">
        <f>HGR.SAT!B7</f>
        <v>SUMBER DANA</v>
      </c>
      <c r="D14" s="584"/>
      <c r="E14" s="585" t="str">
        <f>HGR.SAT!D7</f>
        <v>:</v>
      </c>
      <c r="F14" s="583" t="str">
        <f>HGR.SAT!E7</f>
        <v>DANA ALOKASI UMUM (DAU)</v>
      </c>
      <c r="H14" s="302"/>
      <c r="I14" s="586"/>
      <c r="J14" s="302"/>
      <c r="O14" s="302"/>
      <c r="R14" s="484"/>
      <c r="W14" s="588"/>
    </row>
    <row r="15" spans="2:25" s="298" customFormat="1" ht="17.100000000000001" customHeight="1">
      <c r="B15" s="950"/>
      <c r="C15" s="583" t="str">
        <f>HGR.SAT!B8</f>
        <v>TAHUN ANGGARAN</v>
      </c>
      <c r="D15" s="584"/>
      <c r="E15" s="585" t="str">
        <f>HGR.SAT!D8</f>
        <v>:</v>
      </c>
      <c r="F15" s="768">
        <v>2025</v>
      </c>
      <c r="H15" s="302"/>
      <c r="I15" s="586"/>
      <c r="J15" s="302"/>
      <c r="O15" s="302"/>
      <c r="R15" s="484"/>
      <c r="W15" s="588"/>
    </row>
    <row r="16" spans="2:25" s="298" customFormat="1" ht="15">
      <c r="B16" s="950"/>
      <c r="C16" s="587"/>
      <c r="E16" s="589"/>
      <c r="H16" s="302"/>
      <c r="I16" s="303"/>
      <c r="J16" s="302"/>
      <c r="O16" s="302"/>
      <c r="P16" s="588"/>
      <c r="Q16" s="588"/>
      <c r="R16" s="484"/>
      <c r="S16" s="588"/>
      <c r="T16" s="588"/>
      <c r="U16" s="588"/>
    </row>
    <row r="17" spans="2:21" s="298" customFormat="1" ht="14.1" customHeight="1">
      <c r="B17" s="951">
        <v>1</v>
      </c>
      <c r="C17" s="488"/>
      <c r="D17" s="590" t="s">
        <v>383</v>
      </c>
      <c r="E17" s="485"/>
      <c r="F17" s="485"/>
      <c r="G17" s="485"/>
      <c r="H17" s="488"/>
      <c r="I17" s="485"/>
      <c r="J17" s="485"/>
      <c r="K17" s="591" t="s">
        <v>240</v>
      </c>
      <c r="L17" s="591"/>
      <c r="M17" s="591"/>
      <c r="N17" s="591"/>
      <c r="O17" s="302" t="str">
        <f>D18</f>
        <v>m'</v>
      </c>
      <c r="P17" s="592">
        <f>K35</f>
        <v>66926.720000000001</v>
      </c>
      <c r="Q17" s="593">
        <f>L33</f>
        <v>0.83152319432358257</v>
      </c>
      <c r="R17" s="484">
        <f>N33</f>
        <v>49688.5</v>
      </c>
      <c r="S17" s="594"/>
      <c r="T17" s="484"/>
      <c r="U17" s="593"/>
    </row>
    <row r="18" spans="2:21" s="298" customFormat="1" ht="14.1" customHeight="1">
      <c r="B18" s="951"/>
      <c r="C18" s="488"/>
      <c r="D18" s="485" t="s">
        <v>32</v>
      </c>
      <c r="E18" s="485"/>
      <c r="F18" s="485"/>
      <c r="G18" s="485"/>
      <c r="H18" s="488"/>
      <c r="I18" s="485"/>
      <c r="J18" s="485"/>
      <c r="K18" s="485"/>
      <c r="L18" s="485"/>
      <c r="M18" s="485"/>
      <c r="N18" s="485"/>
      <c r="O18" s="302"/>
      <c r="Q18" s="595"/>
      <c r="R18" s="484"/>
      <c r="S18" s="595"/>
      <c r="T18" s="595"/>
      <c r="U18" s="595"/>
    </row>
    <row r="19" spans="2:21" s="298" customFormat="1" ht="14.1" customHeight="1">
      <c r="B19" s="951"/>
      <c r="C19" s="596"/>
      <c r="D19" s="977" t="s">
        <v>55</v>
      </c>
      <c r="E19" s="978"/>
      <c r="F19" s="597"/>
      <c r="G19" s="981" t="s">
        <v>56</v>
      </c>
      <c r="H19" s="981" t="s">
        <v>57</v>
      </c>
      <c r="I19" s="596" t="s">
        <v>58</v>
      </c>
      <c r="J19" s="596" t="s">
        <v>59</v>
      </c>
      <c r="K19" s="596" t="s">
        <v>102</v>
      </c>
      <c r="L19" s="596" t="s">
        <v>418</v>
      </c>
      <c r="M19" s="596" t="s">
        <v>419</v>
      </c>
      <c r="N19" s="596" t="s">
        <v>59</v>
      </c>
      <c r="O19" s="302"/>
      <c r="Q19" s="595"/>
      <c r="R19" s="484"/>
      <c r="S19" s="595"/>
      <c r="T19" s="595"/>
      <c r="U19" s="595"/>
    </row>
    <row r="20" spans="2:21" s="298" customFormat="1" ht="14.1" customHeight="1">
      <c r="B20" s="951"/>
      <c r="C20" s="598" t="s">
        <v>227</v>
      </c>
      <c r="D20" s="979"/>
      <c r="E20" s="980"/>
      <c r="F20" s="599"/>
      <c r="G20" s="982"/>
      <c r="H20" s="982"/>
      <c r="I20" s="598" t="s">
        <v>60</v>
      </c>
      <c r="J20" s="598" t="s">
        <v>61</v>
      </c>
      <c r="K20" s="598" t="s">
        <v>61</v>
      </c>
      <c r="L20" s="598" t="s">
        <v>421</v>
      </c>
      <c r="M20" s="598"/>
      <c r="N20" s="598" t="s">
        <v>423</v>
      </c>
      <c r="O20" s="302"/>
      <c r="Q20" s="595"/>
      <c r="R20" s="484"/>
      <c r="S20" s="595"/>
      <c r="T20" s="595"/>
      <c r="U20" s="595"/>
    </row>
    <row r="21" spans="2:21" s="298" customFormat="1" ht="14.1" customHeight="1">
      <c r="B21" s="951"/>
      <c r="C21" s="600"/>
      <c r="D21" s="969"/>
      <c r="E21" s="970"/>
      <c r="F21" s="601"/>
      <c r="G21" s="973"/>
      <c r="H21" s="973"/>
      <c r="I21" s="600" t="s">
        <v>61</v>
      </c>
      <c r="J21" s="602"/>
      <c r="K21" s="602"/>
      <c r="L21" s="602"/>
      <c r="M21" s="602"/>
      <c r="N21" s="600" t="s">
        <v>61</v>
      </c>
      <c r="O21" s="302"/>
      <c r="Q21" s="595"/>
      <c r="R21" s="484"/>
      <c r="S21" s="595"/>
      <c r="T21" s="595"/>
      <c r="U21" s="595"/>
    </row>
    <row r="22" spans="2:21" s="298" customFormat="1" ht="14.1" customHeight="1">
      <c r="B22" s="951"/>
      <c r="C22" s="596" t="s">
        <v>213</v>
      </c>
      <c r="D22" s="603" t="s">
        <v>62</v>
      </c>
      <c r="E22" s="604" t="s">
        <v>438</v>
      </c>
      <c r="F22" s="604"/>
      <c r="G22" s="605" t="s">
        <v>68</v>
      </c>
      <c r="H22" s="606">
        <v>1.2E-2</v>
      </c>
      <c r="I22" s="491">
        <f>'UPH-TNG'!$I$74</f>
        <v>1753500</v>
      </c>
      <c r="J22" s="491">
        <f>ROUND(H22*I22,2)</f>
        <v>21042</v>
      </c>
      <c r="K22" s="492"/>
      <c r="L22" s="493">
        <v>0.75</v>
      </c>
      <c r="M22" s="494"/>
      <c r="N22" s="491">
        <f t="shared" ref="N22:N29" si="0">L22*J22</f>
        <v>15781.5</v>
      </c>
      <c r="O22" s="302"/>
      <c r="Q22" s="595"/>
      <c r="R22" s="484"/>
      <c r="S22" s="595"/>
      <c r="T22" s="595"/>
      <c r="U22" s="595"/>
    </row>
    <row r="23" spans="2:21" s="298" customFormat="1" ht="14.1" customHeight="1">
      <c r="B23" s="951"/>
      <c r="C23" s="598"/>
      <c r="D23" s="607"/>
      <c r="E23" s="604" t="s">
        <v>150</v>
      </c>
      <c r="F23" s="604"/>
      <c r="G23" s="605" t="s">
        <v>73</v>
      </c>
      <c r="H23" s="606">
        <v>0.02</v>
      </c>
      <c r="I23" s="491">
        <f>'UPH-TNG'!$I$103</f>
        <v>17400</v>
      </c>
      <c r="J23" s="491">
        <f>ROUND(H23*I23,2)</f>
        <v>348</v>
      </c>
      <c r="K23" s="496"/>
      <c r="L23" s="493">
        <v>0</v>
      </c>
      <c r="M23" s="494"/>
      <c r="N23" s="491">
        <f t="shared" si="0"/>
        <v>0</v>
      </c>
      <c r="O23" s="302"/>
      <c r="Q23" s="595"/>
      <c r="R23" s="484"/>
      <c r="S23" s="595"/>
      <c r="T23" s="595"/>
      <c r="U23" s="595"/>
    </row>
    <row r="24" spans="2:21" s="298" customFormat="1">
      <c r="B24" s="951"/>
      <c r="C24" s="607"/>
      <c r="D24" s="607"/>
      <c r="E24" s="604" t="s">
        <v>203</v>
      </c>
      <c r="F24" s="604"/>
      <c r="G24" s="605" t="s">
        <v>68</v>
      </c>
      <c r="H24" s="606">
        <v>7.0000000000000001E-3</v>
      </c>
      <c r="I24" s="491">
        <f>'UPH-TNG'!$I$76</f>
        <v>2548000</v>
      </c>
      <c r="J24" s="491">
        <f>ROUND(H24*I24,2)</f>
        <v>17836</v>
      </c>
      <c r="K24" s="511"/>
      <c r="L24" s="493">
        <v>0.75</v>
      </c>
      <c r="M24" s="494"/>
      <c r="N24" s="491">
        <f t="shared" si="0"/>
        <v>13377</v>
      </c>
      <c r="O24" s="302"/>
      <c r="Q24" s="595"/>
      <c r="R24" s="484"/>
      <c r="S24" s="595"/>
      <c r="T24" s="595"/>
      <c r="U24" s="595"/>
    </row>
    <row r="25" spans="2:21" s="298" customFormat="1">
      <c r="B25" s="951"/>
      <c r="C25" s="600"/>
      <c r="D25" s="607"/>
      <c r="E25" s="608"/>
      <c r="F25" s="609"/>
      <c r="G25" s="610"/>
      <c r="H25" s="611"/>
      <c r="I25" s="504"/>
      <c r="J25" s="495"/>
      <c r="K25" s="491">
        <f>SUM(J22:J24)</f>
        <v>39226</v>
      </c>
      <c r="L25" s="493"/>
      <c r="M25" s="494"/>
      <c r="N25" s="491"/>
      <c r="O25" s="302"/>
      <c r="Q25" s="595"/>
      <c r="R25" s="484"/>
      <c r="S25" s="595"/>
      <c r="T25" s="595"/>
      <c r="U25" s="595"/>
    </row>
    <row r="26" spans="2:21" s="298" customFormat="1">
      <c r="B26" s="951"/>
      <c r="C26" s="596" t="s">
        <v>214</v>
      </c>
      <c r="D26" s="603" t="s">
        <v>63</v>
      </c>
      <c r="E26" s="604" t="s">
        <v>98</v>
      </c>
      <c r="F26" s="604"/>
      <c r="G26" s="605" t="s">
        <v>66</v>
      </c>
      <c r="H26" s="606">
        <v>0.1</v>
      </c>
      <c r="I26" s="491">
        <f>'UPH-TNG'!$I$24</f>
        <v>98000</v>
      </c>
      <c r="J26" s="491">
        <f>ROUND(H26*I26,2)</f>
        <v>9800</v>
      </c>
      <c r="K26" s="492"/>
      <c r="L26" s="493">
        <v>1</v>
      </c>
      <c r="M26" s="493" t="s">
        <v>422</v>
      </c>
      <c r="N26" s="491">
        <f t="shared" si="0"/>
        <v>9800</v>
      </c>
      <c r="O26" s="302"/>
      <c r="Q26" s="595"/>
      <c r="R26" s="484"/>
      <c r="S26" s="595"/>
      <c r="T26" s="595"/>
      <c r="U26" s="595"/>
    </row>
    <row r="27" spans="2:21" s="298" customFormat="1">
      <c r="B27" s="951"/>
      <c r="C27" s="598"/>
      <c r="D27" s="607"/>
      <c r="E27" s="604" t="s">
        <v>64</v>
      </c>
      <c r="F27" s="604"/>
      <c r="G27" s="605" t="s">
        <v>66</v>
      </c>
      <c r="H27" s="606">
        <v>0.1</v>
      </c>
      <c r="I27" s="491">
        <f>'UPH-TNG'!$I$15</f>
        <v>92000</v>
      </c>
      <c r="J27" s="491">
        <f>ROUND(H27*I27,2)</f>
        <v>9200</v>
      </c>
      <c r="K27" s="496"/>
      <c r="L27" s="493">
        <v>1</v>
      </c>
      <c r="M27" s="493" t="s">
        <v>422</v>
      </c>
      <c r="N27" s="491">
        <f t="shared" si="0"/>
        <v>9200</v>
      </c>
      <c r="O27" s="302"/>
      <c r="Q27" s="595"/>
      <c r="R27" s="484"/>
      <c r="S27" s="595"/>
      <c r="T27" s="595"/>
      <c r="U27" s="595"/>
    </row>
    <row r="28" spans="2:21" s="298" customFormat="1">
      <c r="B28" s="951"/>
      <c r="C28" s="598"/>
      <c r="D28" s="607"/>
      <c r="E28" s="604" t="s">
        <v>124</v>
      </c>
      <c r="F28" s="604"/>
      <c r="G28" s="605" t="s">
        <v>66</v>
      </c>
      <c r="H28" s="606">
        <v>0.01</v>
      </c>
      <c r="I28" s="491">
        <f>'UPH-TNG'!$I$19</f>
        <v>104000</v>
      </c>
      <c r="J28" s="491">
        <f>ROUND(H28*I28,2)</f>
        <v>1040</v>
      </c>
      <c r="K28" s="496"/>
      <c r="L28" s="493">
        <v>1</v>
      </c>
      <c r="M28" s="493" t="s">
        <v>422</v>
      </c>
      <c r="N28" s="491">
        <f t="shared" si="0"/>
        <v>1040</v>
      </c>
      <c r="O28" s="302"/>
      <c r="Q28" s="595"/>
      <c r="R28" s="484"/>
      <c r="S28" s="595"/>
      <c r="T28" s="595"/>
      <c r="U28" s="595"/>
    </row>
    <row r="29" spans="2:21" s="298" customFormat="1">
      <c r="B29" s="951"/>
      <c r="C29" s="607"/>
      <c r="D29" s="607"/>
      <c r="E29" s="604" t="s">
        <v>65</v>
      </c>
      <c r="F29" s="604"/>
      <c r="G29" s="605" t="s">
        <v>66</v>
      </c>
      <c r="H29" s="606">
        <v>5.0000000000000001E-3</v>
      </c>
      <c r="I29" s="491">
        <f>'UPH-TNG'!$I$20</f>
        <v>98000</v>
      </c>
      <c r="J29" s="491">
        <f>ROUND(H29*I29,2)</f>
        <v>490</v>
      </c>
      <c r="K29" s="607"/>
      <c r="L29" s="493">
        <v>1</v>
      </c>
      <c r="M29" s="493" t="s">
        <v>422</v>
      </c>
      <c r="N29" s="491">
        <f t="shared" si="0"/>
        <v>490</v>
      </c>
      <c r="O29" s="302"/>
      <c r="Q29" s="595"/>
      <c r="R29" s="484"/>
      <c r="S29" s="595"/>
      <c r="T29" s="595"/>
      <c r="U29" s="595"/>
    </row>
    <row r="30" spans="2:21" s="298" customFormat="1">
      <c r="B30" s="951"/>
      <c r="C30" s="600"/>
      <c r="D30" s="602"/>
      <c r="E30" s="612"/>
      <c r="F30" s="613"/>
      <c r="G30" s="610"/>
      <c r="H30" s="614"/>
      <c r="I30" s="504"/>
      <c r="J30" s="495"/>
      <c r="K30" s="494">
        <f>SUM(J26:J29)</f>
        <v>20530</v>
      </c>
      <c r="L30" s="493"/>
      <c r="M30" s="493"/>
      <c r="N30" s="491"/>
      <c r="O30" s="302"/>
      <c r="Q30" s="595"/>
      <c r="R30" s="484"/>
      <c r="S30" s="595"/>
      <c r="T30" s="595"/>
      <c r="U30" s="595"/>
    </row>
    <row r="31" spans="2:21" s="298" customFormat="1">
      <c r="B31" s="951"/>
      <c r="C31" s="598" t="s">
        <v>215</v>
      </c>
      <c r="D31" s="603" t="s">
        <v>212</v>
      </c>
      <c r="E31" s="615"/>
      <c r="F31" s="615"/>
      <c r="G31" s="605"/>
      <c r="H31" s="616"/>
      <c r="I31" s="617"/>
      <c r="J31" s="491"/>
      <c r="K31" s="492"/>
      <c r="L31" s="493"/>
      <c r="M31" s="493"/>
      <c r="N31" s="491"/>
      <c r="O31" s="302"/>
      <c r="Q31" s="595"/>
      <c r="R31" s="484"/>
      <c r="S31" s="595"/>
      <c r="T31" s="595"/>
      <c r="U31" s="595"/>
    </row>
    <row r="32" spans="2:21" s="298" customFormat="1">
      <c r="B32" s="951"/>
      <c r="C32" s="600"/>
      <c r="D32" s="602"/>
      <c r="E32" s="612"/>
      <c r="F32" s="613"/>
      <c r="G32" s="610"/>
      <c r="H32" s="614"/>
      <c r="I32" s="618"/>
      <c r="J32" s="495"/>
      <c r="K32" s="494">
        <f>SUM(J31:J31)</f>
        <v>0</v>
      </c>
      <c r="L32" s="493"/>
      <c r="M32" s="493"/>
      <c r="N32" s="491"/>
      <c r="O32" s="302"/>
      <c r="Q32" s="595"/>
      <c r="R32" s="484"/>
      <c r="S32" s="595"/>
      <c r="T32" s="595"/>
      <c r="U32" s="595"/>
    </row>
    <row r="33" spans="2:21" s="298" customFormat="1" ht="15">
      <c r="B33" s="951"/>
      <c r="C33" s="600" t="s">
        <v>216</v>
      </c>
      <c r="D33" s="619" t="s">
        <v>219</v>
      </c>
      <c r="E33" s="613"/>
      <c r="F33" s="613"/>
      <c r="G33" s="610"/>
      <c r="H33" s="614"/>
      <c r="I33" s="618"/>
      <c r="J33" s="497" t="s">
        <v>220</v>
      </c>
      <c r="K33" s="494">
        <f>K25+K30+K32</f>
        <v>59756</v>
      </c>
      <c r="L33" s="620">
        <f>N33/K33</f>
        <v>0.83152319432358257</v>
      </c>
      <c r="M33" s="497"/>
      <c r="N33" s="498">
        <f>SUM(N21:N32)</f>
        <v>49688.5</v>
      </c>
      <c r="O33" s="302"/>
      <c r="Q33" s="595"/>
      <c r="R33" s="484"/>
      <c r="S33" s="595"/>
      <c r="T33" s="595"/>
      <c r="U33" s="595"/>
    </row>
    <row r="34" spans="2:21" s="298" customFormat="1">
      <c r="B34" s="951"/>
      <c r="C34" s="600" t="s">
        <v>217</v>
      </c>
      <c r="D34" s="619" t="s">
        <v>221</v>
      </c>
      <c r="E34" s="613"/>
      <c r="F34" s="499">
        <v>0.1</v>
      </c>
      <c r="G34" s="605" t="s">
        <v>168</v>
      </c>
      <c r="H34" s="499">
        <v>0.02</v>
      </c>
      <c r="I34" s="621" t="s">
        <v>167</v>
      </c>
      <c r="J34" s="494" t="s">
        <v>216</v>
      </c>
      <c r="K34" s="500">
        <f>ROUND((K33*(F34+H34)),2)</f>
        <v>7170.72</v>
      </c>
      <c r="L34" s="493"/>
      <c r="M34" s="493"/>
      <c r="N34" s="491"/>
      <c r="O34" s="302"/>
      <c r="Q34" s="595"/>
      <c r="R34" s="484"/>
      <c r="S34" s="595"/>
      <c r="T34" s="595"/>
      <c r="U34" s="595"/>
    </row>
    <row r="35" spans="2:21" s="298" customFormat="1" ht="15">
      <c r="B35" s="951"/>
      <c r="C35" s="622" t="s">
        <v>222</v>
      </c>
      <c r="D35" s="623" t="s">
        <v>76</v>
      </c>
      <c r="E35" s="624"/>
      <c r="F35" s="624"/>
      <c r="G35" s="624"/>
      <c r="H35" s="625"/>
      <c r="I35" s="624"/>
      <c r="J35" s="626" t="s">
        <v>226</v>
      </c>
      <c r="K35" s="627">
        <f>SUM(K33:K34)</f>
        <v>66926.720000000001</v>
      </c>
      <c r="L35" s="493"/>
      <c r="M35" s="493"/>
      <c r="N35" s="491"/>
      <c r="O35" s="302"/>
      <c r="Q35" s="595"/>
      <c r="R35" s="484"/>
      <c r="S35" s="595"/>
      <c r="T35" s="595"/>
      <c r="U35" s="595"/>
    </row>
    <row r="36" spans="2:21" s="298" customFormat="1" ht="15">
      <c r="B36" s="951"/>
      <c r="C36" s="490"/>
      <c r="D36" s="628"/>
      <c r="E36" s="628"/>
      <c r="F36" s="628"/>
      <c r="G36" s="628"/>
      <c r="H36" s="487"/>
      <c r="I36" s="628"/>
      <c r="J36" s="629"/>
      <c r="K36" s="630"/>
      <c r="L36" s="630"/>
      <c r="M36" s="630"/>
      <c r="N36" s="630"/>
      <c r="O36" s="302"/>
      <c r="Q36" s="595"/>
      <c r="R36" s="484"/>
      <c r="S36" s="595"/>
      <c r="T36" s="595"/>
      <c r="U36" s="595"/>
    </row>
    <row r="37" spans="2:21" s="505" customFormat="1" ht="14.1" hidden="1" customHeight="1">
      <c r="B37" s="951">
        <f>B17+1</f>
        <v>2</v>
      </c>
      <c r="C37" s="488"/>
      <c r="D37" s="485" t="s">
        <v>674</v>
      </c>
      <c r="E37" s="485"/>
      <c r="F37" s="485"/>
      <c r="G37" s="485"/>
      <c r="H37" s="488"/>
      <c r="I37" s="485"/>
      <c r="J37" s="485"/>
      <c r="K37" s="591" t="s">
        <v>440</v>
      </c>
      <c r="L37" s="591"/>
      <c r="M37" s="591"/>
      <c r="N37" s="591"/>
      <c r="O37" s="631" t="str">
        <f>D38</f>
        <v>m3</v>
      </c>
      <c r="P37" s="595">
        <f>K49</f>
        <v>97675.199999999997</v>
      </c>
      <c r="Q37" s="593">
        <f>L47</f>
        <v>1</v>
      </c>
      <c r="R37" s="484">
        <f>N47</f>
        <v>87210</v>
      </c>
      <c r="S37" s="594"/>
      <c r="T37" s="484"/>
      <c r="U37" s="593"/>
    </row>
    <row r="38" spans="2:21" s="505" customFormat="1" ht="14.1" hidden="1" customHeight="1">
      <c r="B38" s="951"/>
      <c r="C38" s="488"/>
      <c r="D38" s="485" t="s">
        <v>68</v>
      </c>
      <c r="E38" s="485"/>
      <c r="F38" s="485"/>
      <c r="G38" s="485"/>
      <c r="H38" s="488"/>
      <c r="I38" s="485"/>
      <c r="J38" s="485"/>
      <c r="K38" s="485"/>
      <c r="L38" s="485"/>
      <c r="M38" s="485"/>
      <c r="N38" s="485"/>
      <c r="O38" s="631"/>
      <c r="Q38" s="595"/>
      <c r="R38" s="484"/>
      <c r="S38" s="595"/>
      <c r="T38" s="595"/>
      <c r="U38" s="595"/>
    </row>
    <row r="39" spans="2:21" s="505" customFormat="1" ht="14.1" hidden="1" customHeight="1">
      <c r="B39" s="951"/>
      <c r="C39" s="596"/>
      <c r="D39" s="977" t="s">
        <v>55</v>
      </c>
      <c r="E39" s="978"/>
      <c r="F39" s="597"/>
      <c r="G39" s="981" t="s">
        <v>56</v>
      </c>
      <c r="H39" s="981" t="s">
        <v>57</v>
      </c>
      <c r="I39" s="596" t="s">
        <v>58</v>
      </c>
      <c r="J39" s="596" t="s">
        <v>59</v>
      </c>
      <c r="K39" s="596" t="s">
        <v>102</v>
      </c>
      <c r="L39" s="596" t="s">
        <v>418</v>
      </c>
      <c r="M39" s="596" t="s">
        <v>419</v>
      </c>
      <c r="N39" s="596" t="s">
        <v>59</v>
      </c>
      <c r="O39" s="631"/>
      <c r="Q39" s="595"/>
      <c r="R39" s="484"/>
      <c r="S39" s="595"/>
      <c r="T39" s="595"/>
      <c r="U39" s="595"/>
    </row>
    <row r="40" spans="2:21" s="505" customFormat="1" ht="14.1" hidden="1" customHeight="1">
      <c r="B40" s="951"/>
      <c r="C40" s="598" t="s">
        <v>227</v>
      </c>
      <c r="D40" s="979"/>
      <c r="E40" s="980"/>
      <c r="F40" s="599"/>
      <c r="G40" s="982"/>
      <c r="H40" s="982"/>
      <c r="I40" s="598" t="s">
        <v>60</v>
      </c>
      <c r="J40" s="598" t="s">
        <v>61</v>
      </c>
      <c r="K40" s="598" t="s">
        <v>61</v>
      </c>
      <c r="L40" s="598" t="s">
        <v>421</v>
      </c>
      <c r="M40" s="598"/>
      <c r="N40" s="598" t="s">
        <v>423</v>
      </c>
      <c r="O40" s="631"/>
      <c r="Q40" s="595"/>
      <c r="R40" s="484"/>
      <c r="S40" s="595"/>
      <c r="T40" s="595"/>
      <c r="U40" s="595"/>
    </row>
    <row r="41" spans="2:21" s="505" customFormat="1" ht="14.1" hidden="1" customHeight="1">
      <c r="B41" s="951"/>
      <c r="C41" s="600"/>
      <c r="D41" s="969"/>
      <c r="E41" s="970"/>
      <c r="F41" s="601"/>
      <c r="G41" s="973"/>
      <c r="H41" s="973"/>
      <c r="I41" s="600" t="s">
        <v>61</v>
      </c>
      <c r="J41" s="602"/>
      <c r="K41" s="602"/>
      <c r="L41" s="602"/>
      <c r="M41" s="602"/>
      <c r="N41" s="600" t="s">
        <v>61</v>
      </c>
      <c r="O41" s="631"/>
      <c r="Q41" s="595"/>
      <c r="R41" s="484"/>
      <c r="S41" s="595"/>
      <c r="T41" s="595"/>
      <c r="U41" s="595"/>
    </row>
    <row r="42" spans="2:21" s="505" customFormat="1" ht="14.1" hidden="1" customHeight="1">
      <c r="B42" s="951"/>
      <c r="C42" s="596" t="s">
        <v>213</v>
      </c>
      <c r="D42" s="603" t="s">
        <v>63</v>
      </c>
      <c r="E42" s="615" t="s">
        <v>64</v>
      </c>
      <c r="F42" s="615"/>
      <c r="G42" s="605" t="s">
        <v>66</v>
      </c>
      <c r="H42" s="616">
        <v>0.9</v>
      </c>
      <c r="I42" s="632">
        <f>'UPH-TNG'!$I$15</f>
        <v>92000</v>
      </c>
      <c r="J42" s="491">
        <f>ROUND(H42*I42,2)</f>
        <v>82800</v>
      </c>
      <c r="K42" s="492"/>
      <c r="L42" s="493">
        <v>1</v>
      </c>
      <c r="M42" s="493" t="s">
        <v>422</v>
      </c>
      <c r="N42" s="491">
        <f t="shared" ref="N42:N43" si="1">L42*J42</f>
        <v>82800</v>
      </c>
      <c r="O42" s="631"/>
      <c r="Q42" s="595"/>
      <c r="R42" s="484"/>
      <c r="S42" s="595"/>
      <c r="T42" s="595"/>
      <c r="U42" s="595"/>
    </row>
    <row r="43" spans="2:21" s="505" customFormat="1" ht="14.1" hidden="1" customHeight="1">
      <c r="B43" s="951"/>
      <c r="C43" s="598"/>
      <c r="D43" s="607"/>
      <c r="E43" s="615" t="s">
        <v>65</v>
      </c>
      <c r="F43" s="615"/>
      <c r="G43" s="605" t="s">
        <v>66</v>
      </c>
      <c r="H43" s="605">
        <v>4.4999999999999998E-2</v>
      </c>
      <c r="I43" s="632">
        <f>'UPH-TNG'!$I$20</f>
        <v>98000</v>
      </c>
      <c r="J43" s="491">
        <f>ROUND(H43*I43,2)</f>
        <v>4410</v>
      </c>
      <c r="K43" s="496"/>
      <c r="L43" s="493">
        <v>1</v>
      </c>
      <c r="M43" s="493" t="s">
        <v>422</v>
      </c>
      <c r="N43" s="491">
        <f t="shared" si="1"/>
        <v>4410</v>
      </c>
      <c r="O43" s="631"/>
      <c r="Q43" s="595"/>
      <c r="R43" s="484"/>
      <c r="S43" s="595"/>
      <c r="T43" s="595"/>
      <c r="U43" s="595"/>
    </row>
    <row r="44" spans="2:21" s="505" customFormat="1" ht="14.1" hidden="1" customHeight="1">
      <c r="B44" s="951"/>
      <c r="C44" s="600"/>
      <c r="D44" s="602"/>
      <c r="E44" s="612"/>
      <c r="F44" s="613"/>
      <c r="G44" s="610"/>
      <c r="H44" s="610"/>
      <c r="I44" s="633"/>
      <c r="J44" s="495"/>
      <c r="K44" s="494">
        <f>SUM(J42:J43)</f>
        <v>87210</v>
      </c>
      <c r="L44" s="493"/>
      <c r="M44" s="494"/>
      <c r="N44" s="491">
        <f t="shared" ref="N44:N46" si="2">L44*J44</f>
        <v>0</v>
      </c>
      <c r="O44" s="631"/>
      <c r="Q44" s="595"/>
      <c r="R44" s="484"/>
      <c r="S44" s="595"/>
      <c r="T44" s="595"/>
      <c r="U44" s="595"/>
    </row>
    <row r="45" spans="2:21" s="505" customFormat="1" ht="14.1" hidden="1" customHeight="1">
      <c r="B45" s="951"/>
      <c r="C45" s="596" t="s">
        <v>214</v>
      </c>
      <c r="D45" s="603" t="s">
        <v>212</v>
      </c>
      <c r="E45" s="615"/>
      <c r="F45" s="615"/>
      <c r="G45" s="605"/>
      <c r="H45" s="616"/>
      <c r="I45" s="617"/>
      <c r="J45" s="491"/>
      <c r="K45" s="492"/>
      <c r="L45" s="493"/>
      <c r="M45" s="494"/>
      <c r="N45" s="491">
        <f t="shared" si="2"/>
        <v>0</v>
      </c>
      <c r="O45" s="631"/>
      <c r="Q45" s="595"/>
      <c r="R45" s="484"/>
      <c r="S45" s="595"/>
      <c r="T45" s="595"/>
      <c r="U45" s="595"/>
    </row>
    <row r="46" spans="2:21" s="505" customFormat="1" ht="14.1" hidden="1" customHeight="1">
      <c r="B46" s="951"/>
      <c r="C46" s="600"/>
      <c r="D46" s="602"/>
      <c r="E46" s="612"/>
      <c r="F46" s="613"/>
      <c r="G46" s="610"/>
      <c r="H46" s="614"/>
      <c r="I46" s="618"/>
      <c r="J46" s="495"/>
      <c r="K46" s="494">
        <f>SUM(J45:J45)</f>
        <v>0</v>
      </c>
      <c r="L46" s="493"/>
      <c r="M46" s="494"/>
      <c r="N46" s="491">
        <f t="shared" si="2"/>
        <v>0</v>
      </c>
      <c r="O46" s="631"/>
      <c r="Q46" s="595"/>
      <c r="R46" s="484"/>
      <c r="S46" s="595"/>
      <c r="T46" s="595"/>
      <c r="U46" s="595"/>
    </row>
    <row r="47" spans="2:21" s="505" customFormat="1" ht="14.1" hidden="1" customHeight="1">
      <c r="B47" s="951"/>
      <c r="C47" s="605" t="s">
        <v>215</v>
      </c>
      <c r="D47" s="619" t="s">
        <v>219</v>
      </c>
      <c r="E47" s="613"/>
      <c r="F47" s="613"/>
      <c r="G47" s="610"/>
      <c r="H47" s="614"/>
      <c r="I47" s="618"/>
      <c r="J47" s="497" t="s">
        <v>234</v>
      </c>
      <c r="K47" s="494">
        <f>K44+K46</f>
        <v>87210</v>
      </c>
      <c r="L47" s="620">
        <f>N47/K47</f>
        <v>1</v>
      </c>
      <c r="M47" s="497"/>
      <c r="N47" s="498">
        <f>SUM(N39:N46)</f>
        <v>87210</v>
      </c>
      <c r="O47" s="631"/>
      <c r="Q47" s="595"/>
      <c r="R47" s="484"/>
      <c r="S47" s="595"/>
      <c r="T47" s="595"/>
      <c r="U47" s="595"/>
    </row>
    <row r="48" spans="2:21" s="505" customFormat="1" ht="14.1" hidden="1" customHeight="1">
      <c r="B48" s="951"/>
      <c r="C48" s="600" t="s">
        <v>216</v>
      </c>
      <c r="D48" s="619" t="s">
        <v>221</v>
      </c>
      <c r="E48" s="613"/>
      <c r="F48" s="499">
        <f>$F$34</f>
        <v>0.1</v>
      </c>
      <c r="G48" s="605" t="s">
        <v>168</v>
      </c>
      <c r="H48" s="499">
        <f>$H$34</f>
        <v>0.02</v>
      </c>
      <c r="I48" s="621" t="s">
        <v>167</v>
      </c>
      <c r="J48" s="494" t="s">
        <v>215</v>
      </c>
      <c r="K48" s="500">
        <f>ROUND((K47*(F48+H48)),2)</f>
        <v>10465.200000000001</v>
      </c>
      <c r="L48" s="494"/>
      <c r="M48" s="494"/>
      <c r="N48" s="494"/>
      <c r="O48" s="631"/>
      <c r="Q48" s="595"/>
      <c r="R48" s="484"/>
      <c r="S48" s="595"/>
      <c r="T48" s="595"/>
      <c r="U48" s="595"/>
    </row>
    <row r="49" spans="2:21" s="505" customFormat="1" ht="14.1" hidden="1" customHeight="1">
      <c r="B49" s="951"/>
      <c r="C49" s="634" t="s">
        <v>217</v>
      </c>
      <c r="D49" s="623" t="s">
        <v>67</v>
      </c>
      <c r="E49" s="624"/>
      <c r="F49" s="624"/>
      <c r="G49" s="624"/>
      <c r="H49" s="625"/>
      <c r="I49" s="624"/>
      <c r="J49" s="626" t="s">
        <v>235</v>
      </c>
      <c r="K49" s="627">
        <f>SUM(K47:K48)</f>
        <v>97675.199999999997</v>
      </c>
      <c r="L49" s="620"/>
      <c r="M49" s="626"/>
      <c r="N49" s="635"/>
      <c r="O49" s="631"/>
      <c r="Q49" s="595"/>
      <c r="R49" s="484"/>
      <c r="S49" s="595"/>
      <c r="T49" s="595"/>
      <c r="U49" s="595"/>
    </row>
    <row r="50" spans="2:21" s="298" customFormat="1" ht="15" hidden="1">
      <c r="B50" s="951"/>
      <c r="C50" s="490"/>
      <c r="D50" s="628"/>
      <c r="E50" s="628"/>
      <c r="F50" s="628"/>
      <c r="G50" s="628"/>
      <c r="H50" s="487"/>
      <c r="I50" s="628"/>
      <c r="J50" s="629"/>
      <c r="K50" s="630"/>
      <c r="L50" s="630"/>
      <c r="M50" s="630"/>
      <c r="N50" s="630"/>
      <c r="O50" s="302"/>
      <c r="Q50" s="595"/>
      <c r="R50" s="484"/>
      <c r="S50" s="595"/>
      <c r="T50" s="595"/>
      <c r="U50" s="595"/>
    </row>
    <row r="51" spans="2:21" s="298" customFormat="1" hidden="1">
      <c r="B51" s="951">
        <f>B37+1</f>
        <v>3</v>
      </c>
      <c r="C51" s="488"/>
      <c r="D51" s="485" t="s">
        <v>675</v>
      </c>
      <c r="E51" s="485"/>
      <c r="F51" s="485"/>
      <c r="G51" s="485"/>
      <c r="H51" s="488"/>
      <c r="I51" s="485"/>
      <c r="J51" s="485"/>
      <c r="K51" s="591" t="s">
        <v>564</v>
      </c>
      <c r="L51" s="591"/>
      <c r="M51" s="591"/>
      <c r="N51" s="591"/>
      <c r="O51" s="631" t="str">
        <f>D52</f>
        <v>m3</v>
      </c>
      <c r="P51" s="595">
        <f>K63</f>
        <v>57008</v>
      </c>
      <c r="Q51" s="593">
        <f>L61</f>
        <v>1</v>
      </c>
      <c r="R51" s="484">
        <f>N61</f>
        <v>50900</v>
      </c>
      <c r="S51" s="595"/>
      <c r="T51" s="595"/>
      <c r="U51" s="595"/>
    </row>
    <row r="52" spans="2:21" s="298" customFormat="1" hidden="1">
      <c r="B52" s="951"/>
      <c r="C52" s="488"/>
      <c r="D52" s="485" t="s">
        <v>68</v>
      </c>
      <c r="E52" s="485"/>
      <c r="F52" s="485"/>
      <c r="G52" s="485"/>
      <c r="H52" s="488"/>
      <c r="I52" s="485"/>
      <c r="J52" s="485"/>
      <c r="K52" s="485"/>
      <c r="L52" s="485"/>
      <c r="M52" s="485"/>
      <c r="N52" s="485"/>
      <c r="O52" s="631"/>
      <c r="P52" s="505"/>
      <c r="Q52" s="595"/>
      <c r="R52" s="484"/>
      <c r="S52" s="595"/>
      <c r="T52" s="595"/>
      <c r="U52" s="595"/>
    </row>
    <row r="53" spans="2:21" s="298" customFormat="1" hidden="1">
      <c r="B53" s="951"/>
      <c r="C53" s="596"/>
      <c r="D53" s="977" t="s">
        <v>55</v>
      </c>
      <c r="E53" s="978"/>
      <c r="F53" s="597"/>
      <c r="G53" s="981" t="s">
        <v>56</v>
      </c>
      <c r="H53" s="981" t="s">
        <v>57</v>
      </c>
      <c r="I53" s="596" t="s">
        <v>58</v>
      </c>
      <c r="J53" s="596" t="s">
        <v>59</v>
      </c>
      <c r="K53" s="596" t="s">
        <v>102</v>
      </c>
      <c r="L53" s="596" t="s">
        <v>418</v>
      </c>
      <c r="M53" s="596" t="s">
        <v>419</v>
      </c>
      <c r="N53" s="596" t="s">
        <v>59</v>
      </c>
      <c r="O53" s="631"/>
      <c r="P53" s="505"/>
      <c r="Q53" s="595"/>
      <c r="R53" s="484"/>
      <c r="S53" s="595"/>
      <c r="T53" s="595"/>
      <c r="U53" s="595"/>
    </row>
    <row r="54" spans="2:21" s="298" customFormat="1" hidden="1">
      <c r="B54" s="951"/>
      <c r="C54" s="598" t="s">
        <v>227</v>
      </c>
      <c r="D54" s="979"/>
      <c r="E54" s="980"/>
      <c r="F54" s="599"/>
      <c r="G54" s="982"/>
      <c r="H54" s="982"/>
      <c r="I54" s="598" t="s">
        <v>60</v>
      </c>
      <c r="J54" s="598" t="s">
        <v>61</v>
      </c>
      <c r="K54" s="598" t="s">
        <v>61</v>
      </c>
      <c r="L54" s="598" t="s">
        <v>421</v>
      </c>
      <c r="M54" s="598"/>
      <c r="N54" s="598" t="s">
        <v>423</v>
      </c>
      <c r="O54" s="631"/>
      <c r="P54" s="505"/>
      <c r="Q54" s="595"/>
      <c r="R54" s="484"/>
      <c r="S54" s="595"/>
      <c r="T54" s="595"/>
      <c r="U54" s="595"/>
    </row>
    <row r="55" spans="2:21" s="298" customFormat="1" hidden="1">
      <c r="B55" s="951"/>
      <c r="C55" s="600"/>
      <c r="D55" s="969"/>
      <c r="E55" s="970"/>
      <c r="F55" s="601"/>
      <c r="G55" s="973"/>
      <c r="H55" s="973"/>
      <c r="I55" s="600" t="s">
        <v>61</v>
      </c>
      <c r="J55" s="602"/>
      <c r="K55" s="602"/>
      <c r="L55" s="602"/>
      <c r="M55" s="602"/>
      <c r="N55" s="600" t="s">
        <v>61</v>
      </c>
      <c r="O55" s="631"/>
      <c r="P55" s="505"/>
      <c r="Q55" s="595"/>
      <c r="R55" s="484"/>
      <c r="S55" s="595"/>
      <c r="T55" s="595"/>
      <c r="U55" s="595"/>
    </row>
    <row r="56" spans="2:21" s="298" customFormat="1" hidden="1">
      <c r="B56" s="951"/>
      <c r="C56" s="596" t="s">
        <v>213</v>
      </c>
      <c r="D56" s="603" t="s">
        <v>63</v>
      </c>
      <c r="E56" s="615" t="s">
        <v>64</v>
      </c>
      <c r="F56" s="615"/>
      <c r="G56" s="605" t="s">
        <v>66</v>
      </c>
      <c r="H56" s="616">
        <v>0.5</v>
      </c>
      <c r="I56" s="632">
        <f>'UPH-TNG'!$I$15</f>
        <v>92000</v>
      </c>
      <c r="J56" s="491">
        <f>ROUND(H56*I56,2)</f>
        <v>46000</v>
      </c>
      <c r="K56" s="492"/>
      <c r="L56" s="493">
        <v>1</v>
      </c>
      <c r="M56" s="493" t="s">
        <v>422</v>
      </c>
      <c r="N56" s="491">
        <f t="shared" ref="N56:N60" si="3">L56*J56</f>
        <v>46000</v>
      </c>
      <c r="O56" s="631"/>
      <c r="P56" s="505"/>
      <c r="Q56" s="595"/>
      <c r="R56" s="484"/>
      <c r="S56" s="595"/>
      <c r="T56" s="595"/>
      <c r="U56" s="595"/>
    </row>
    <row r="57" spans="2:21" s="298" customFormat="1" hidden="1">
      <c r="B57" s="951"/>
      <c r="C57" s="598"/>
      <c r="D57" s="607"/>
      <c r="E57" s="615" t="s">
        <v>65</v>
      </c>
      <c r="F57" s="615"/>
      <c r="G57" s="605" t="s">
        <v>66</v>
      </c>
      <c r="H57" s="605">
        <v>0.05</v>
      </c>
      <c r="I57" s="632">
        <f>'UPH-TNG'!$I$20</f>
        <v>98000</v>
      </c>
      <c r="J57" s="491">
        <f>ROUND(H57*I57,2)</f>
        <v>4900</v>
      </c>
      <c r="K57" s="496"/>
      <c r="L57" s="493">
        <v>1</v>
      </c>
      <c r="M57" s="493" t="s">
        <v>422</v>
      </c>
      <c r="N57" s="491">
        <f t="shared" si="3"/>
        <v>4900</v>
      </c>
      <c r="O57" s="631"/>
      <c r="P57" s="505"/>
      <c r="Q57" s="595"/>
      <c r="R57" s="484"/>
      <c r="S57" s="595"/>
      <c r="T57" s="595"/>
      <c r="U57" s="595"/>
    </row>
    <row r="58" spans="2:21" s="298" customFormat="1" hidden="1">
      <c r="B58" s="951"/>
      <c r="C58" s="600"/>
      <c r="D58" s="602"/>
      <c r="E58" s="612"/>
      <c r="F58" s="613"/>
      <c r="G58" s="610"/>
      <c r="H58" s="610"/>
      <c r="I58" s="633"/>
      <c r="J58" s="495"/>
      <c r="K58" s="494">
        <f>SUM(J56:J57)</f>
        <v>50900</v>
      </c>
      <c r="L58" s="493"/>
      <c r="M58" s="494"/>
      <c r="N58" s="491">
        <f t="shared" si="3"/>
        <v>0</v>
      </c>
      <c r="O58" s="631"/>
      <c r="P58" s="505"/>
      <c r="Q58" s="595"/>
      <c r="R58" s="484"/>
      <c r="S58" s="595"/>
      <c r="T58" s="595"/>
      <c r="U58" s="595"/>
    </row>
    <row r="59" spans="2:21" s="298" customFormat="1" hidden="1">
      <c r="B59" s="951"/>
      <c r="C59" s="596" t="s">
        <v>214</v>
      </c>
      <c r="D59" s="603" t="s">
        <v>212</v>
      </c>
      <c r="E59" s="615"/>
      <c r="F59" s="615"/>
      <c r="G59" s="605"/>
      <c r="H59" s="616"/>
      <c r="I59" s="617"/>
      <c r="J59" s="491"/>
      <c r="K59" s="492"/>
      <c r="L59" s="493"/>
      <c r="M59" s="494"/>
      <c r="N59" s="491">
        <f t="shared" si="3"/>
        <v>0</v>
      </c>
      <c r="O59" s="631"/>
      <c r="P59" s="505"/>
      <c r="Q59" s="595"/>
      <c r="R59" s="484"/>
      <c r="S59" s="595"/>
      <c r="T59" s="595"/>
      <c r="U59" s="595"/>
    </row>
    <row r="60" spans="2:21" s="298" customFormat="1" hidden="1">
      <c r="B60" s="951"/>
      <c r="C60" s="600"/>
      <c r="D60" s="602"/>
      <c r="E60" s="612"/>
      <c r="F60" s="613"/>
      <c r="G60" s="610"/>
      <c r="H60" s="614"/>
      <c r="I60" s="618"/>
      <c r="J60" s="495"/>
      <c r="K60" s="494">
        <f>SUM(J59:J59)</f>
        <v>0</v>
      </c>
      <c r="L60" s="493"/>
      <c r="M60" s="494"/>
      <c r="N60" s="491">
        <f t="shared" si="3"/>
        <v>0</v>
      </c>
      <c r="O60" s="631"/>
      <c r="P60" s="505"/>
      <c r="Q60" s="595"/>
      <c r="R60" s="484"/>
      <c r="S60" s="595"/>
      <c r="T60" s="595"/>
      <c r="U60" s="595"/>
    </row>
    <row r="61" spans="2:21" s="298" customFormat="1" ht="15" hidden="1">
      <c r="B61" s="951"/>
      <c r="C61" s="605" t="s">
        <v>215</v>
      </c>
      <c r="D61" s="619" t="s">
        <v>219</v>
      </c>
      <c r="E61" s="613"/>
      <c r="F61" s="613"/>
      <c r="G61" s="610"/>
      <c r="H61" s="614"/>
      <c r="I61" s="618"/>
      <c r="J61" s="497" t="s">
        <v>234</v>
      </c>
      <c r="K61" s="494">
        <f>K58+K60</f>
        <v>50900</v>
      </c>
      <c r="L61" s="620">
        <f>N61/K61</f>
        <v>1</v>
      </c>
      <c r="M61" s="497"/>
      <c r="N61" s="498">
        <f>SUM(N53:N60)</f>
        <v>50900</v>
      </c>
      <c r="O61" s="631"/>
      <c r="P61" s="505"/>
      <c r="Q61" s="595"/>
      <c r="R61" s="484"/>
      <c r="S61" s="595"/>
      <c r="T61" s="595"/>
      <c r="U61" s="595"/>
    </row>
    <row r="62" spans="2:21" s="298" customFormat="1" hidden="1">
      <c r="B62" s="951"/>
      <c r="C62" s="600" t="s">
        <v>216</v>
      </c>
      <c r="D62" s="619" t="s">
        <v>221</v>
      </c>
      <c r="E62" s="613"/>
      <c r="F62" s="499">
        <f>$F$34</f>
        <v>0.1</v>
      </c>
      <c r="G62" s="605" t="s">
        <v>168</v>
      </c>
      <c r="H62" s="499">
        <f>$H$34</f>
        <v>0.02</v>
      </c>
      <c r="I62" s="621" t="s">
        <v>167</v>
      </c>
      <c r="J62" s="494" t="s">
        <v>215</v>
      </c>
      <c r="K62" s="500">
        <f>ROUND((K61*(F62+H62)),2)</f>
        <v>6108</v>
      </c>
      <c r="L62" s="494"/>
      <c r="M62" s="494"/>
      <c r="N62" s="494"/>
      <c r="O62" s="631"/>
      <c r="P62" s="505"/>
      <c r="Q62" s="595"/>
      <c r="R62" s="484"/>
      <c r="S62" s="595"/>
      <c r="T62" s="595"/>
      <c r="U62" s="595"/>
    </row>
    <row r="63" spans="2:21" s="298" customFormat="1" ht="15" hidden="1">
      <c r="B63" s="951"/>
      <c r="C63" s="634" t="s">
        <v>217</v>
      </c>
      <c r="D63" s="623" t="s">
        <v>67</v>
      </c>
      <c r="E63" s="624"/>
      <c r="F63" s="624"/>
      <c r="G63" s="624"/>
      <c r="H63" s="625"/>
      <c r="I63" s="624"/>
      <c r="J63" s="626" t="s">
        <v>235</v>
      </c>
      <c r="K63" s="627">
        <f>SUM(K61:K62)</f>
        <v>57008</v>
      </c>
      <c r="L63" s="620"/>
      <c r="M63" s="626"/>
      <c r="N63" s="635"/>
      <c r="O63" s="631"/>
      <c r="P63" s="505"/>
      <c r="Q63" s="595"/>
      <c r="R63" s="484"/>
      <c r="S63" s="595"/>
      <c r="T63" s="595"/>
      <c r="U63" s="595"/>
    </row>
    <row r="64" spans="2:21" s="298" customFormat="1" ht="15" hidden="1">
      <c r="B64" s="951"/>
      <c r="C64" s="490"/>
      <c r="D64" s="628"/>
      <c r="E64" s="628"/>
      <c r="F64" s="628"/>
      <c r="G64" s="628"/>
      <c r="H64" s="487"/>
      <c r="I64" s="628"/>
      <c r="J64" s="629"/>
      <c r="K64" s="630"/>
      <c r="L64" s="630"/>
      <c r="M64" s="630"/>
      <c r="N64" s="630"/>
      <c r="O64" s="302"/>
      <c r="Q64" s="595"/>
      <c r="R64" s="484"/>
      <c r="S64" s="595"/>
      <c r="T64" s="595"/>
      <c r="U64" s="595"/>
    </row>
    <row r="65" spans="2:21" s="485" customFormat="1" ht="14.1" hidden="1" customHeight="1">
      <c r="B65" s="951">
        <f>B51+1</f>
        <v>4</v>
      </c>
      <c r="C65" s="488"/>
      <c r="D65" s="485" t="s">
        <v>485</v>
      </c>
      <c r="H65" s="488"/>
      <c r="K65" s="591" t="s">
        <v>486</v>
      </c>
      <c r="L65" s="591"/>
      <c r="M65" s="591"/>
      <c r="N65" s="591"/>
      <c r="O65" s="485" t="str">
        <f>D66</f>
        <v>m2</v>
      </c>
      <c r="P65" s="636">
        <f>K79</f>
        <v>115214.39999999999</v>
      </c>
      <c r="Q65" s="593">
        <f>L77</f>
        <v>1</v>
      </c>
      <c r="R65" s="484">
        <f>N77</f>
        <v>102870</v>
      </c>
      <c r="S65" s="594"/>
      <c r="T65" s="484"/>
      <c r="U65" s="593"/>
    </row>
    <row r="66" spans="2:21" s="485" customFormat="1" ht="14.1" hidden="1" customHeight="1">
      <c r="B66" s="951"/>
      <c r="C66" s="488"/>
      <c r="D66" s="485" t="s">
        <v>100</v>
      </c>
      <c r="H66" s="488"/>
      <c r="Q66" s="595"/>
      <c r="R66" s="484"/>
      <c r="S66" s="595"/>
      <c r="T66" s="595"/>
      <c r="U66" s="595"/>
    </row>
    <row r="67" spans="2:21" s="485" customFormat="1" ht="14.1" hidden="1" customHeight="1">
      <c r="B67" s="951"/>
      <c r="C67" s="596"/>
      <c r="D67" s="977" t="s">
        <v>55</v>
      </c>
      <c r="E67" s="978"/>
      <c r="F67" s="597"/>
      <c r="G67" s="981" t="s">
        <v>56</v>
      </c>
      <c r="H67" s="981" t="s">
        <v>57</v>
      </c>
      <c r="I67" s="596" t="s">
        <v>58</v>
      </c>
      <c r="J67" s="596" t="s">
        <v>59</v>
      </c>
      <c r="K67" s="596" t="s">
        <v>102</v>
      </c>
      <c r="L67" s="596" t="s">
        <v>418</v>
      </c>
      <c r="M67" s="596" t="s">
        <v>419</v>
      </c>
      <c r="N67" s="596" t="s">
        <v>59</v>
      </c>
      <c r="Q67" s="595"/>
      <c r="R67" s="484"/>
      <c r="S67" s="595"/>
      <c r="T67" s="595"/>
      <c r="U67" s="595"/>
    </row>
    <row r="68" spans="2:21" s="485" customFormat="1" ht="14.1" hidden="1" customHeight="1">
      <c r="B68" s="951"/>
      <c r="C68" s="598" t="s">
        <v>227</v>
      </c>
      <c r="D68" s="979"/>
      <c r="E68" s="980"/>
      <c r="F68" s="599"/>
      <c r="G68" s="982"/>
      <c r="H68" s="982"/>
      <c r="I68" s="598" t="s">
        <v>60</v>
      </c>
      <c r="J68" s="598" t="s">
        <v>61</v>
      </c>
      <c r="K68" s="598" t="s">
        <v>61</v>
      </c>
      <c r="L68" s="598" t="s">
        <v>421</v>
      </c>
      <c r="M68" s="598"/>
      <c r="N68" s="598" t="s">
        <v>423</v>
      </c>
      <c r="Q68" s="595"/>
      <c r="R68" s="484"/>
      <c r="S68" s="595"/>
      <c r="T68" s="595"/>
      <c r="U68" s="595"/>
    </row>
    <row r="69" spans="2:21" s="485" customFormat="1" ht="14.1" hidden="1" customHeight="1">
      <c r="B69" s="951"/>
      <c r="C69" s="600"/>
      <c r="D69" s="969"/>
      <c r="E69" s="970"/>
      <c r="F69" s="601"/>
      <c r="G69" s="973"/>
      <c r="H69" s="973"/>
      <c r="I69" s="600" t="s">
        <v>61</v>
      </c>
      <c r="J69" s="602"/>
      <c r="K69" s="602"/>
      <c r="L69" s="602"/>
      <c r="M69" s="602"/>
      <c r="N69" s="600" t="s">
        <v>61</v>
      </c>
      <c r="Q69" s="595"/>
      <c r="R69" s="484"/>
      <c r="S69" s="595"/>
      <c r="T69" s="595"/>
      <c r="U69" s="595"/>
    </row>
    <row r="70" spans="2:21" s="485" customFormat="1" ht="14.1" hidden="1" customHeight="1">
      <c r="B70" s="951"/>
      <c r="C70" s="596" t="s">
        <v>213</v>
      </c>
      <c r="D70" s="637" t="s">
        <v>62</v>
      </c>
      <c r="E70" s="638" t="s">
        <v>72</v>
      </c>
      <c r="F70" s="638"/>
      <c r="G70" s="600" t="s">
        <v>73</v>
      </c>
      <c r="H70" s="639">
        <v>6</v>
      </c>
      <c r="I70" s="640">
        <f>'UPH-TNG'!I66</f>
        <v>14600</v>
      </c>
      <c r="J70" s="491">
        <f>ROUND(H70*I70,2)</f>
        <v>87600</v>
      </c>
      <c r="K70" s="492"/>
      <c r="L70" s="493">
        <v>1</v>
      </c>
      <c r="M70" s="494"/>
      <c r="N70" s="491">
        <f t="shared" ref="N70:N76" si="4">L70*J70</f>
        <v>87600</v>
      </c>
      <c r="Q70" s="595"/>
      <c r="R70" s="484"/>
      <c r="S70" s="595"/>
      <c r="T70" s="595"/>
      <c r="U70" s="595"/>
    </row>
    <row r="71" spans="2:21" s="485" customFormat="1" ht="14.1" hidden="1" customHeight="1">
      <c r="B71" s="951"/>
      <c r="C71" s="598"/>
      <c r="D71" s="641"/>
      <c r="E71" s="642"/>
      <c r="F71" s="643"/>
      <c r="G71" s="610"/>
      <c r="H71" s="614"/>
      <c r="I71" s="618"/>
      <c r="J71" s="495"/>
      <c r="K71" s="494">
        <f>SUM(J70)</f>
        <v>87600</v>
      </c>
      <c r="L71" s="493"/>
      <c r="M71" s="494"/>
      <c r="N71" s="491">
        <f t="shared" si="4"/>
        <v>0</v>
      </c>
      <c r="Q71" s="595"/>
      <c r="R71" s="484"/>
      <c r="S71" s="595"/>
      <c r="T71" s="595"/>
      <c r="U71" s="595"/>
    </row>
    <row r="72" spans="2:21" s="485" customFormat="1" ht="14.1" hidden="1" customHeight="1">
      <c r="B72" s="951"/>
      <c r="C72" s="596" t="s">
        <v>214</v>
      </c>
      <c r="D72" s="603" t="s">
        <v>63</v>
      </c>
      <c r="E72" s="615" t="s">
        <v>64</v>
      </c>
      <c r="F72" s="615"/>
      <c r="G72" s="605" t="s">
        <v>66</v>
      </c>
      <c r="H72" s="616">
        <v>0.15</v>
      </c>
      <c r="I72" s="632">
        <f>'UPH-TNG'!$I$15</f>
        <v>92000</v>
      </c>
      <c r="J72" s="491">
        <f>ROUND(H72*I72,2)</f>
        <v>13800</v>
      </c>
      <c r="K72" s="496"/>
      <c r="L72" s="493">
        <v>1</v>
      </c>
      <c r="M72" s="493" t="s">
        <v>422</v>
      </c>
      <c r="N72" s="491">
        <f t="shared" si="4"/>
        <v>13800</v>
      </c>
      <c r="Q72" s="595"/>
      <c r="R72" s="484"/>
      <c r="S72" s="595"/>
      <c r="T72" s="595"/>
      <c r="U72" s="595"/>
    </row>
    <row r="73" spans="2:21" s="485" customFormat="1" ht="14.1" hidden="1" customHeight="1">
      <c r="B73" s="951"/>
      <c r="C73" s="598"/>
      <c r="D73" s="607"/>
      <c r="E73" s="615" t="s">
        <v>65</v>
      </c>
      <c r="F73" s="615"/>
      <c r="G73" s="605" t="s">
        <v>66</v>
      </c>
      <c r="H73" s="616">
        <v>1.4999999999999999E-2</v>
      </c>
      <c r="I73" s="632">
        <f>'UPH-TNG'!$I$20</f>
        <v>98000</v>
      </c>
      <c r="J73" s="491">
        <f>ROUND(H73*I73,2)</f>
        <v>1470</v>
      </c>
      <c r="K73" s="494"/>
      <c r="L73" s="493">
        <v>1</v>
      </c>
      <c r="M73" s="493" t="s">
        <v>422</v>
      </c>
      <c r="N73" s="491">
        <f t="shared" si="4"/>
        <v>1470</v>
      </c>
      <c r="Q73" s="595"/>
      <c r="R73" s="484"/>
      <c r="S73" s="595"/>
      <c r="T73" s="595"/>
      <c r="U73" s="595"/>
    </row>
    <row r="74" spans="2:21" s="485" customFormat="1" ht="14.1" hidden="1" customHeight="1">
      <c r="B74" s="951"/>
      <c r="C74" s="600"/>
      <c r="D74" s="602"/>
      <c r="E74" s="612"/>
      <c r="F74" s="613"/>
      <c r="G74" s="610"/>
      <c r="H74" s="614"/>
      <c r="I74" s="633"/>
      <c r="J74" s="644"/>
      <c r="K74" s="645">
        <f>SUM(J72:J73)</f>
        <v>15270</v>
      </c>
      <c r="L74" s="493"/>
      <c r="M74" s="494"/>
      <c r="N74" s="491">
        <f t="shared" si="4"/>
        <v>0</v>
      </c>
      <c r="Q74" s="595"/>
      <c r="R74" s="484"/>
      <c r="S74" s="595"/>
      <c r="T74" s="595"/>
      <c r="U74" s="595"/>
    </row>
    <row r="75" spans="2:21" s="485" customFormat="1" ht="14.1" hidden="1" customHeight="1">
      <c r="B75" s="951"/>
      <c r="C75" s="598" t="s">
        <v>215</v>
      </c>
      <c r="D75" s="603" t="s">
        <v>212</v>
      </c>
      <c r="E75" s="615"/>
      <c r="F75" s="615"/>
      <c r="G75" s="605"/>
      <c r="H75" s="616"/>
      <c r="I75" s="617"/>
      <c r="J75" s="491"/>
      <c r="K75" s="492"/>
      <c r="L75" s="493"/>
      <c r="M75" s="494"/>
      <c r="N75" s="491">
        <f t="shared" si="4"/>
        <v>0</v>
      </c>
      <c r="Q75" s="595"/>
      <c r="R75" s="484"/>
      <c r="S75" s="595"/>
      <c r="T75" s="595"/>
      <c r="U75" s="595"/>
    </row>
    <row r="76" spans="2:21" s="485" customFormat="1" ht="14.1" hidden="1" customHeight="1">
      <c r="B76" s="951"/>
      <c r="C76" s="600"/>
      <c r="D76" s="602"/>
      <c r="E76" s="612"/>
      <c r="F76" s="613"/>
      <c r="G76" s="610"/>
      <c r="H76" s="614"/>
      <c r="I76" s="618"/>
      <c r="J76" s="495"/>
      <c r="K76" s="494">
        <f>SUM(J75:J75)</f>
        <v>0</v>
      </c>
      <c r="L76" s="493"/>
      <c r="M76" s="494"/>
      <c r="N76" s="491">
        <f t="shared" si="4"/>
        <v>0</v>
      </c>
      <c r="Q76" s="595"/>
      <c r="R76" s="484"/>
      <c r="S76" s="595"/>
      <c r="T76" s="595"/>
      <c r="U76" s="595"/>
    </row>
    <row r="77" spans="2:21" s="485" customFormat="1" ht="14.1" hidden="1" customHeight="1">
      <c r="B77" s="951"/>
      <c r="C77" s="605" t="s">
        <v>216</v>
      </c>
      <c r="D77" s="619" t="s">
        <v>219</v>
      </c>
      <c r="E77" s="613"/>
      <c r="F77" s="613"/>
      <c r="G77" s="610"/>
      <c r="H77" s="614"/>
      <c r="I77" s="618"/>
      <c r="J77" s="497" t="s">
        <v>220</v>
      </c>
      <c r="K77" s="494">
        <f>K71+K74+K76</f>
        <v>102870</v>
      </c>
      <c r="L77" s="620">
        <f>N77/K77</f>
        <v>1</v>
      </c>
      <c r="M77" s="497"/>
      <c r="N77" s="498">
        <f>SUM(N69:N76)</f>
        <v>102870</v>
      </c>
      <c r="Q77" s="595"/>
      <c r="R77" s="484"/>
      <c r="S77" s="595"/>
      <c r="T77" s="595"/>
      <c r="U77" s="595"/>
    </row>
    <row r="78" spans="2:21" s="485" customFormat="1" ht="14.1" hidden="1" customHeight="1">
      <c r="B78" s="951"/>
      <c r="C78" s="600" t="s">
        <v>217</v>
      </c>
      <c r="D78" s="619" t="s">
        <v>221</v>
      </c>
      <c r="E78" s="613"/>
      <c r="F78" s="499">
        <f>$F$48</f>
        <v>0.1</v>
      </c>
      <c r="G78" s="605" t="s">
        <v>168</v>
      </c>
      <c r="H78" s="499">
        <f>$H$48</f>
        <v>0.02</v>
      </c>
      <c r="I78" s="621" t="s">
        <v>167</v>
      </c>
      <c r="J78" s="494" t="s">
        <v>216</v>
      </c>
      <c r="K78" s="500">
        <f>ROUND((K77*(F78+H78)),2)</f>
        <v>12344.4</v>
      </c>
      <c r="L78" s="494"/>
      <c r="M78" s="494"/>
      <c r="N78" s="494"/>
      <c r="Q78" s="595"/>
      <c r="R78" s="484"/>
      <c r="S78" s="595"/>
      <c r="T78" s="595"/>
      <c r="U78" s="595"/>
    </row>
    <row r="79" spans="2:21" s="485" customFormat="1" ht="14.1" hidden="1" customHeight="1">
      <c r="B79" s="951"/>
      <c r="C79" s="622" t="s">
        <v>222</v>
      </c>
      <c r="D79" s="623" t="s">
        <v>67</v>
      </c>
      <c r="E79" s="624"/>
      <c r="F79" s="624"/>
      <c r="G79" s="624"/>
      <c r="H79" s="625"/>
      <c r="I79" s="624"/>
      <c r="J79" s="626" t="s">
        <v>226</v>
      </c>
      <c r="K79" s="627">
        <f>SUM(K77:K78)</f>
        <v>115214.39999999999</v>
      </c>
      <c r="L79" s="620"/>
      <c r="M79" s="626"/>
      <c r="N79" s="635"/>
      <c r="Q79" s="595"/>
      <c r="R79" s="484"/>
      <c r="S79" s="595"/>
      <c r="T79" s="595"/>
      <c r="U79" s="595"/>
    </row>
    <row r="80" spans="2:21" s="298" customFormat="1" ht="15" hidden="1">
      <c r="B80" s="951"/>
      <c r="C80" s="490"/>
      <c r="D80" s="628"/>
      <c r="E80" s="628"/>
      <c r="F80" s="628"/>
      <c r="G80" s="628"/>
      <c r="H80" s="487"/>
      <c r="I80" s="628"/>
      <c r="J80" s="629"/>
      <c r="K80" s="630"/>
      <c r="L80" s="630"/>
      <c r="M80" s="630"/>
      <c r="N80" s="630"/>
      <c r="O80" s="302"/>
      <c r="Q80" s="595"/>
      <c r="R80" s="484"/>
      <c r="S80" s="595"/>
      <c r="T80" s="595"/>
      <c r="U80" s="595"/>
    </row>
    <row r="81" spans="2:21" s="485" customFormat="1" ht="14.1" customHeight="1">
      <c r="B81" s="951">
        <f>B65+1</f>
        <v>5</v>
      </c>
      <c r="C81" s="488"/>
      <c r="D81" s="485" t="s">
        <v>705</v>
      </c>
      <c r="H81" s="488"/>
      <c r="K81" s="591" t="s">
        <v>440</v>
      </c>
      <c r="L81" s="591"/>
      <c r="M81" s="591"/>
      <c r="N81" s="591"/>
      <c r="O81" s="485" t="str">
        <f>D82</f>
        <v>m3</v>
      </c>
      <c r="P81" s="636">
        <f>K93</f>
        <v>80024</v>
      </c>
      <c r="Q81" s="593">
        <f>L91</f>
        <v>1</v>
      </c>
      <c r="R81" s="484">
        <f>N91</f>
        <v>71450</v>
      </c>
      <c r="S81" s="594"/>
      <c r="T81" s="484"/>
      <c r="U81" s="593"/>
    </row>
    <row r="82" spans="2:21" s="485" customFormat="1" ht="14.1" customHeight="1">
      <c r="B82" s="951"/>
      <c r="C82" s="488"/>
      <c r="D82" s="485" t="s">
        <v>68</v>
      </c>
      <c r="H82" s="488"/>
      <c r="Q82" s="595"/>
      <c r="R82" s="484"/>
      <c r="S82" s="595"/>
      <c r="T82" s="595"/>
      <c r="U82" s="595"/>
    </row>
    <row r="83" spans="2:21" s="485" customFormat="1" ht="14.1" customHeight="1">
      <c r="B83" s="951"/>
      <c r="C83" s="596"/>
      <c r="D83" s="977" t="s">
        <v>55</v>
      </c>
      <c r="E83" s="978"/>
      <c r="F83" s="597"/>
      <c r="G83" s="981" t="s">
        <v>56</v>
      </c>
      <c r="H83" s="981" t="s">
        <v>57</v>
      </c>
      <c r="I83" s="596" t="s">
        <v>58</v>
      </c>
      <c r="J83" s="596" t="s">
        <v>59</v>
      </c>
      <c r="K83" s="596" t="s">
        <v>102</v>
      </c>
      <c r="L83" s="596" t="s">
        <v>418</v>
      </c>
      <c r="M83" s="596" t="s">
        <v>419</v>
      </c>
      <c r="N83" s="596" t="s">
        <v>59</v>
      </c>
      <c r="Q83" s="595"/>
      <c r="R83" s="484"/>
      <c r="S83" s="595"/>
      <c r="T83" s="595"/>
      <c r="U83" s="595"/>
    </row>
    <row r="84" spans="2:21" s="485" customFormat="1" ht="14.1" customHeight="1">
      <c r="B84" s="951"/>
      <c r="C84" s="598" t="s">
        <v>227</v>
      </c>
      <c r="D84" s="979"/>
      <c r="E84" s="980"/>
      <c r="F84" s="599"/>
      <c r="G84" s="982"/>
      <c r="H84" s="982"/>
      <c r="I84" s="598" t="s">
        <v>60</v>
      </c>
      <c r="J84" s="598" t="s">
        <v>61</v>
      </c>
      <c r="K84" s="598" t="s">
        <v>61</v>
      </c>
      <c r="L84" s="598" t="s">
        <v>421</v>
      </c>
      <c r="M84" s="598"/>
      <c r="N84" s="598" t="s">
        <v>423</v>
      </c>
      <c r="Q84" s="595"/>
      <c r="R84" s="484"/>
      <c r="S84" s="595"/>
      <c r="T84" s="595"/>
      <c r="U84" s="595"/>
    </row>
    <row r="85" spans="2:21" s="485" customFormat="1" ht="14.1" customHeight="1">
      <c r="B85" s="951"/>
      <c r="C85" s="600"/>
      <c r="D85" s="969"/>
      <c r="E85" s="970"/>
      <c r="F85" s="601"/>
      <c r="G85" s="973"/>
      <c r="H85" s="973"/>
      <c r="I85" s="600" t="s">
        <v>61</v>
      </c>
      <c r="J85" s="602"/>
      <c r="K85" s="602"/>
      <c r="L85" s="602"/>
      <c r="M85" s="602"/>
      <c r="N85" s="600" t="s">
        <v>61</v>
      </c>
      <c r="Q85" s="595"/>
      <c r="R85" s="484"/>
      <c r="S85" s="595"/>
      <c r="T85" s="595"/>
      <c r="U85" s="595"/>
    </row>
    <row r="86" spans="2:21" s="485" customFormat="1" ht="14.1" customHeight="1">
      <c r="B86" s="951"/>
      <c r="C86" s="596" t="s">
        <v>213</v>
      </c>
      <c r="D86" s="603" t="s">
        <v>63</v>
      </c>
      <c r="E86" s="615" t="s">
        <v>64</v>
      </c>
      <c r="F86" s="615"/>
      <c r="G86" s="605" t="s">
        <v>66</v>
      </c>
      <c r="H86" s="616">
        <v>0.75</v>
      </c>
      <c r="I86" s="632">
        <f>'UPH-TNG'!$I$15</f>
        <v>92000</v>
      </c>
      <c r="J86" s="491">
        <f>ROUND(H86*I86,2)</f>
        <v>69000</v>
      </c>
      <c r="K86" s="492"/>
      <c r="L86" s="493">
        <v>1</v>
      </c>
      <c r="M86" s="493" t="s">
        <v>422</v>
      </c>
      <c r="N86" s="491">
        <f t="shared" ref="N86:N87" si="5">L86*J86</f>
        <v>69000</v>
      </c>
      <c r="Q86" s="595"/>
      <c r="R86" s="484"/>
      <c r="S86" s="595"/>
      <c r="T86" s="595"/>
      <c r="U86" s="595"/>
    </row>
    <row r="87" spans="2:21" s="485" customFormat="1" ht="14.1" customHeight="1">
      <c r="B87" s="951"/>
      <c r="C87" s="598"/>
      <c r="D87" s="607"/>
      <c r="E87" s="615" t="s">
        <v>65</v>
      </c>
      <c r="F87" s="615"/>
      <c r="G87" s="605" t="s">
        <v>66</v>
      </c>
      <c r="H87" s="605">
        <v>2.5000000000000001E-2</v>
      </c>
      <c r="I87" s="632">
        <f>'UPH-TNG'!$I$20</f>
        <v>98000</v>
      </c>
      <c r="J87" s="491">
        <f>ROUND(H87*I87,2)</f>
        <v>2450</v>
      </c>
      <c r="K87" s="496"/>
      <c r="L87" s="493">
        <v>1</v>
      </c>
      <c r="M87" s="493" t="s">
        <v>422</v>
      </c>
      <c r="N87" s="491">
        <f t="shared" si="5"/>
        <v>2450</v>
      </c>
      <c r="Q87" s="595"/>
      <c r="R87" s="484"/>
      <c r="S87" s="595"/>
      <c r="T87" s="595"/>
      <c r="U87" s="595"/>
    </row>
    <row r="88" spans="2:21" s="485" customFormat="1" ht="14.1" customHeight="1">
      <c r="B88" s="951"/>
      <c r="C88" s="600"/>
      <c r="D88" s="602"/>
      <c r="E88" s="612"/>
      <c r="F88" s="613"/>
      <c r="G88" s="610"/>
      <c r="H88" s="610"/>
      <c r="I88" s="633"/>
      <c r="J88" s="495"/>
      <c r="K88" s="494">
        <f>SUM(J86:J87)</f>
        <v>71450</v>
      </c>
      <c r="L88" s="493"/>
      <c r="M88" s="494"/>
      <c r="N88" s="491">
        <f t="shared" ref="N88:N90" si="6">L88*J88</f>
        <v>0</v>
      </c>
      <c r="Q88" s="595"/>
      <c r="R88" s="484"/>
      <c r="S88" s="595"/>
      <c r="T88" s="595"/>
      <c r="U88" s="595"/>
    </row>
    <row r="89" spans="2:21" s="485" customFormat="1" ht="14.1" customHeight="1">
      <c r="B89" s="951"/>
      <c r="C89" s="596" t="s">
        <v>214</v>
      </c>
      <c r="D89" s="603" t="s">
        <v>212</v>
      </c>
      <c r="E89" s="615"/>
      <c r="F89" s="615"/>
      <c r="G89" s="605"/>
      <c r="H89" s="616"/>
      <c r="I89" s="617"/>
      <c r="J89" s="491"/>
      <c r="K89" s="492"/>
      <c r="L89" s="493"/>
      <c r="M89" s="494"/>
      <c r="N89" s="491">
        <f t="shared" si="6"/>
        <v>0</v>
      </c>
      <c r="Q89" s="595"/>
      <c r="R89" s="484"/>
      <c r="S89" s="595"/>
      <c r="T89" s="595"/>
      <c r="U89" s="595"/>
    </row>
    <row r="90" spans="2:21" s="485" customFormat="1" ht="14.1" customHeight="1">
      <c r="B90" s="951"/>
      <c r="C90" s="600"/>
      <c r="D90" s="602"/>
      <c r="E90" s="612"/>
      <c r="F90" s="613"/>
      <c r="G90" s="610"/>
      <c r="H90" s="614"/>
      <c r="I90" s="618"/>
      <c r="J90" s="495"/>
      <c r="K90" s="494">
        <f>SUM(J89:J89)</f>
        <v>0</v>
      </c>
      <c r="L90" s="493"/>
      <c r="M90" s="494"/>
      <c r="N90" s="491">
        <f t="shared" si="6"/>
        <v>0</v>
      </c>
      <c r="Q90" s="595"/>
      <c r="R90" s="484"/>
      <c r="S90" s="595"/>
      <c r="T90" s="595"/>
      <c r="U90" s="595"/>
    </row>
    <row r="91" spans="2:21" s="485" customFormat="1" ht="14.1" customHeight="1">
      <c r="B91" s="951"/>
      <c r="C91" s="605" t="s">
        <v>215</v>
      </c>
      <c r="D91" s="619" t="s">
        <v>219</v>
      </c>
      <c r="E91" s="613"/>
      <c r="F91" s="613"/>
      <c r="G91" s="610"/>
      <c r="H91" s="614"/>
      <c r="I91" s="618"/>
      <c r="J91" s="497" t="s">
        <v>234</v>
      </c>
      <c r="K91" s="494">
        <f>K88+K90</f>
        <v>71450</v>
      </c>
      <c r="L91" s="620">
        <f>N91/K91</f>
        <v>1</v>
      </c>
      <c r="M91" s="497"/>
      <c r="N91" s="498">
        <f>SUM(N83:N90)</f>
        <v>71450</v>
      </c>
      <c r="Q91" s="595"/>
      <c r="R91" s="484"/>
      <c r="S91" s="595"/>
      <c r="T91" s="595"/>
      <c r="U91" s="595"/>
    </row>
    <row r="92" spans="2:21" s="485" customFormat="1" ht="14.1" customHeight="1">
      <c r="B92" s="951"/>
      <c r="C92" s="600" t="s">
        <v>216</v>
      </c>
      <c r="D92" s="619" t="s">
        <v>221</v>
      </c>
      <c r="E92" s="613"/>
      <c r="F92" s="499">
        <f>$F$48</f>
        <v>0.1</v>
      </c>
      <c r="G92" s="605" t="s">
        <v>168</v>
      </c>
      <c r="H92" s="499">
        <f>$H$48</f>
        <v>0.02</v>
      </c>
      <c r="I92" s="621" t="s">
        <v>167</v>
      </c>
      <c r="J92" s="494" t="s">
        <v>215</v>
      </c>
      <c r="K92" s="500">
        <f>ROUND((K91*(F92+H92)),2)</f>
        <v>8574</v>
      </c>
      <c r="L92" s="494"/>
      <c r="M92" s="494"/>
      <c r="N92" s="494"/>
      <c r="Q92" s="595"/>
      <c r="R92" s="484"/>
      <c r="S92" s="595"/>
      <c r="T92" s="595"/>
      <c r="U92" s="595"/>
    </row>
    <row r="93" spans="2:21" s="485" customFormat="1" ht="14.1" customHeight="1">
      <c r="B93" s="951"/>
      <c r="C93" s="634" t="s">
        <v>217</v>
      </c>
      <c r="D93" s="623" t="s">
        <v>67</v>
      </c>
      <c r="E93" s="624"/>
      <c r="F93" s="624"/>
      <c r="G93" s="624"/>
      <c r="H93" s="625"/>
      <c r="I93" s="624"/>
      <c r="J93" s="626" t="s">
        <v>235</v>
      </c>
      <c r="K93" s="627">
        <f>SUM(K91:K92)</f>
        <v>80024</v>
      </c>
      <c r="L93" s="620"/>
      <c r="M93" s="626"/>
      <c r="N93" s="635"/>
      <c r="Q93" s="595"/>
      <c r="R93" s="484"/>
      <c r="S93" s="595"/>
      <c r="T93" s="595"/>
      <c r="U93" s="595"/>
    </row>
    <row r="94" spans="2:21" s="298" customFormat="1" ht="15">
      <c r="B94" s="951"/>
      <c r="C94" s="490"/>
      <c r="D94" s="628"/>
      <c r="E94" s="628"/>
      <c r="F94" s="628"/>
      <c r="G94" s="628"/>
      <c r="H94" s="487"/>
      <c r="I94" s="628"/>
      <c r="J94" s="629"/>
      <c r="K94" s="630"/>
      <c r="L94" s="630"/>
      <c r="M94" s="630"/>
      <c r="N94" s="630"/>
      <c r="O94" s="302"/>
      <c r="Q94" s="595"/>
      <c r="R94" s="484"/>
      <c r="S94" s="595"/>
      <c r="T94" s="595"/>
      <c r="U94" s="595"/>
    </row>
    <row r="95" spans="2:21" s="485" customFormat="1" ht="14.1" hidden="1" customHeight="1">
      <c r="B95" s="951">
        <f>B81+1</f>
        <v>6</v>
      </c>
      <c r="C95" s="488"/>
      <c r="D95" s="485" t="s">
        <v>482</v>
      </c>
      <c r="H95" s="488"/>
      <c r="K95" s="591" t="s">
        <v>483</v>
      </c>
      <c r="L95" s="591"/>
      <c r="M95" s="591"/>
      <c r="N95" s="591"/>
      <c r="O95" s="485" t="str">
        <f>D96</f>
        <v>m3</v>
      </c>
      <c r="P95" s="636">
        <f>K109</f>
        <v>338968</v>
      </c>
      <c r="Q95" s="593">
        <f>L107</f>
        <v>1</v>
      </c>
      <c r="R95" s="484">
        <f>N107</f>
        <v>302650</v>
      </c>
      <c r="S95" s="594"/>
      <c r="T95" s="484"/>
      <c r="U95" s="593"/>
    </row>
    <row r="96" spans="2:21" s="485" customFormat="1" ht="14.1" hidden="1" customHeight="1">
      <c r="B96" s="951"/>
      <c r="C96" s="488"/>
      <c r="D96" s="485" t="s">
        <v>68</v>
      </c>
      <c r="H96" s="488"/>
      <c r="Q96" s="595"/>
      <c r="R96" s="484"/>
      <c r="S96" s="595"/>
      <c r="T96" s="595"/>
      <c r="U96" s="595"/>
    </row>
    <row r="97" spans="2:21" s="485" customFormat="1" ht="14.1" hidden="1" customHeight="1">
      <c r="B97" s="951"/>
      <c r="C97" s="596"/>
      <c r="D97" s="977" t="s">
        <v>55</v>
      </c>
      <c r="E97" s="978"/>
      <c r="F97" s="597"/>
      <c r="G97" s="981" t="s">
        <v>56</v>
      </c>
      <c r="H97" s="981" t="s">
        <v>57</v>
      </c>
      <c r="I97" s="596" t="s">
        <v>58</v>
      </c>
      <c r="J97" s="596" t="s">
        <v>59</v>
      </c>
      <c r="K97" s="596" t="s">
        <v>102</v>
      </c>
      <c r="L97" s="596" t="s">
        <v>418</v>
      </c>
      <c r="M97" s="596" t="s">
        <v>419</v>
      </c>
      <c r="N97" s="596" t="s">
        <v>59</v>
      </c>
      <c r="Q97" s="595"/>
      <c r="R97" s="484"/>
      <c r="S97" s="595"/>
      <c r="T97" s="595"/>
      <c r="U97" s="595"/>
    </row>
    <row r="98" spans="2:21" s="485" customFormat="1" ht="14.1" hidden="1" customHeight="1">
      <c r="B98" s="951"/>
      <c r="C98" s="598" t="s">
        <v>227</v>
      </c>
      <c r="D98" s="979"/>
      <c r="E98" s="980"/>
      <c r="F98" s="599"/>
      <c r="G98" s="982"/>
      <c r="H98" s="982"/>
      <c r="I98" s="598" t="s">
        <v>60</v>
      </c>
      <c r="J98" s="598" t="s">
        <v>61</v>
      </c>
      <c r="K98" s="598" t="s">
        <v>61</v>
      </c>
      <c r="L98" s="598" t="s">
        <v>421</v>
      </c>
      <c r="M98" s="598"/>
      <c r="N98" s="598" t="s">
        <v>423</v>
      </c>
      <c r="Q98" s="595"/>
      <c r="R98" s="484"/>
      <c r="S98" s="595"/>
      <c r="T98" s="595"/>
      <c r="U98" s="595"/>
    </row>
    <row r="99" spans="2:21" s="485" customFormat="1" ht="14.1" hidden="1" customHeight="1">
      <c r="B99" s="951"/>
      <c r="C99" s="600"/>
      <c r="D99" s="969"/>
      <c r="E99" s="970"/>
      <c r="F99" s="601"/>
      <c r="G99" s="973"/>
      <c r="H99" s="973"/>
      <c r="I99" s="600" t="s">
        <v>61</v>
      </c>
      <c r="J99" s="602"/>
      <c r="K99" s="602"/>
      <c r="L99" s="602"/>
      <c r="M99" s="602"/>
      <c r="N99" s="600" t="s">
        <v>61</v>
      </c>
      <c r="Q99" s="595"/>
      <c r="R99" s="484"/>
      <c r="S99" s="595"/>
      <c r="T99" s="595"/>
      <c r="U99" s="595"/>
    </row>
    <row r="100" spans="2:21" s="485" customFormat="1" ht="14.1" hidden="1" customHeight="1">
      <c r="B100" s="951"/>
      <c r="C100" s="596" t="s">
        <v>213</v>
      </c>
      <c r="D100" s="637" t="s">
        <v>62</v>
      </c>
      <c r="E100" s="638" t="s">
        <v>484</v>
      </c>
      <c r="F100" s="638"/>
      <c r="G100" s="600" t="s">
        <v>68</v>
      </c>
      <c r="H100" s="639">
        <v>1.2</v>
      </c>
      <c r="I100" s="640">
        <f>'UPH-TNG'!I108</f>
        <v>231000</v>
      </c>
      <c r="J100" s="491">
        <f>ROUND(H100*I100,2)</f>
        <v>277200</v>
      </c>
      <c r="K100" s="492"/>
      <c r="L100" s="493">
        <v>1</v>
      </c>
      <c r="M100" s="494"/>
      <c r="N100" s="491">
        <f t="shared" ref="N100:N106" si="7">L100*J100</f>
        <v>277200</v>
      </c>
      <c r="Q100" s="595"/>
      <c r="R100" s="484"/>
      <c r="S100" s="595"/>
      <c r="T100" s="595"/>
      <c r="U100" s="595"/>
    </row>
    <row r="101" spans="2:21" s="485" customFormat="1" ht="14.1" hidden="1" customHeight="1">
      <c r="B101" s="951"/>
      <c r="C101" s="598"/>
      <c r="D101" s="641"/>
      <c r="E101" s="642"/>
      <c r="F101" s="643"/>
      <c r="G101" s="610"/>
      <c r="H101" s="614"/>
      <c r="I101" s="618"/>
      <c r="J101" s="495"/>
      <c r="K101" s="494">
        <f>SUM(J100)</f>
        <v>277200</v>
      </c>
      <c r="L101" s="493"/>
      <c r="M101" s="494"/>
      <c r="N101" s="491">
        <f t="shared" si="7"/>
        <v>0</v>
      </c>
      <c r="Q101" s="595"/>
      <c r="R101" s="484"/>
      <c r="S101" s="595"/>
      <c r="T101" s="595"/>
      <c r="U101" s="595"/>
    </row>
    <row r="102" spans="2:21" s="485" customFormat="1" ht="14.1" hidden="1" customHeight="1">
      <c r="B102" s="951"/>
      <c r="C102" s="596" t="s">
        <v>214</v>
      </c>
      <c r="D102" s="603" t="s">
        <v>63</v>
      </c>
      <c r="E102" s="615" t="s">
        <v>64</v>
      </c>
      <c r="F102" s="615"/>
      <c r="G102" s="605" t="s">
        <v>66</v>
      </c>
      <c r="H102" s="616">
        <v>0.25</v>
      </c>
      <c r="I102" s="632">
        <f>'UPH-TNG'!$I$15</f>
        <v>92000</v>
      </c>
      <c r="J102" s="491">
        <f>ROUND(H102*I102,2)</f>
        <v>23000</v>
      </c>
      <c r="K102" s="496"/>
      <c r="L102" s="493">
        <v>1</v>
      </c>
      <c r="M102" s="493" t="s">
        <v>422</v>
      </c>
      <c r="N102" s="491">
        <f t="shared" si="7"/>
        <v>23000</v>
      </c>
      <c r="Q102" s="595"/>
      <c r="R102" s="484"/>
      <c r="S102" s="595"/>
      <c r="T102" s="595"/>
      <c r="U102" s="595"/>
    </row>
    <row r="103" spans="2:21" s="485" customFormat="1" ht="14.1" hidden="1" customHeight="1">
      <c r="B103" s="951"/>
      <c r="C103" s="598"/>
      <c r="D103" s="607"/>
      <c r="E103" s="615" t="s">
        <v>65</v>
      </c>
      <c r="F103" s="615"/>
      <c r="G103" s="605" t="s">
        <v>66</v>
      </c>
      <c r="H103" s="616">
        <v>2.5000000000000001E-2</v>
      </c>
      <c r="I103" s="632">
        <f>'UPH-TNG'!$I$20</f>
        <v>98000</v>
      </c>
      <c r="J103" s="491">
        <f>ROUND(H103*I103,2)</f>
        <v>2450</v>
      </c>
      <c r="K103" s="494"/>
      <c r="L103" s="493">
        <v>1</v>
      </c>
      <c r="M103" s="493" t="s">
        <v>422</v>
      </c>
      <c r="N103" s="491">
        <f t="shared" si="7"/>
        <v>2450</v>
      </c>
      <c r="Q103" s="595"/>
      <c r="R103" s="484"/>
      <c r="S103" s="595"/>
      <c r="T103" s="595"/>
      <c r="U103" s="595"/>
    </row>
    <row r="104" spans="2:21" s="485" customFormat="1" ht="14.1" hidden="1" customHeight="1">
      <c r="B104" s="951"/>
      <c r="C104" s="600"/>
      <c r="D104" s="602"/>
      <c r="E104" s="612"/>
      <c r="F104" s="613"/>
      <c r="G104" s="610"/>
      <c r="H104" s="614"/>
      <c r="I104" s="633"/>
      <c r="J104" s="644"/>
      <c r="K104" s="645">
        <f>SUM(J102:J103)</f>
        <v>25450</v>
      </c>
      <c r="L104" s="493"/>
      <c r="M104" s="494"/>
      <c r="N104" s="491">
        <f t="shared" si="7"/>
        <v>0</v>
      </c>
      <c r="Q104" s="595"/>
      <c r="R104" s="484"/>
      <c r="S104" s="595"/>
      <c r="T104" s="595"/>
      <c r="U104" s="595"/>
    </row>
    <row r="105" spans="2:21" s="485" customFormat="1" ht="14.1" hidden="1" customHeight="1">
      <c r="B105" s="951"/>
      <c r="C105" s="598" t="s">
        <v>215</v>
      </c>
      <c r="D105" s="603" t="s">
        <v>212</v>
      </c>
      <c r="E105" s="615"/>
      <c r="F105" s="615"/>
      <c r="G105" s="605"/>
      <c r="H105" s="616"/>
      <c r="I105" s="617"/>
      <c r="J105" s="491"/>
      <c r="K105" s="492"/>
      <c r="L105" s="493"/>
      <c r="M105" s="494"/>
      <c r="N105" s="491">
        <f t="shared" si="7"/>
        <v>0</v>
      </c>
      <c r="Q105" s="595"/>
      <c r="R105" s="484"/>
      <c r="S105" s="595"/>
      <c r="T105" s="595"/>
      <c r="U105" s="595"/>
    </row>
    <row r="106" spans="2:21" s="485" customFormat="1" ht="14.1" hidden="1" customHeight="1">
      <c r="B106" s="951"/>
      <c r="C106" s="600"/>
      <c r="D106" s="602"/>
      <c r="E106" s="612"/>
      <c r="F106" s="613"/>
      <c r="G106" s="610"/>
      <c r="H106" s="614"/>
      <c r="I106" s="618"/>
      <c r="J106" s="495"/>
      <c r="K106" s="494">
        <f>SUM(J105:J105)</f>
        <v>0</v>
      </c>
      <c r="L106" s="493"/>
      <c r="M106" s="494"/>
      <c r="N106" s="491">
        <f t="shared" si="7"/>
        <v>0</v>
      </c>
      <c r="Q106" s="595"/>
      <c r="R106" s="484"/>
      <c r="S106" s="595"/>
      <c r="T106" s="595"/>
      <c r="U106" s="595"/>
    </row>
    <row r="107" spans="2:21" s="485" customFormat="1" ht="14.1" hidden="1" customHeight="1">
      <c r="B107" s="951"/>
      <c r="C107" s="605" t="s">
        <v>216</v>
      </c>
      <c r="D107" s="619" t="s">
        <v>219</v>
      </c>
      <c r="E107" s="613"/>
      <c r="F107" s="613"/>
      <c r="G107" s="610"/>
      <c r="H107" s="614"/>
      <c r="I107" s="618"/>
      <c r="J107" s="497" t="s">
        <v>220</v>
      </c>
      <c r="K107" s="494">
        <f>K101+K104+K106</f>
        <v>302650</v>
      </c>
      <c r="L107" s="620">
        <f>N107/K107</f>
        <v>1</v>
      </c>
      <c r="M107" s="497"/>
      <c r="N107" s="498">
        <f>SUM(N99:N106)</f>
        <v>302650</v>
      </c>
      <c r="Q107" s="595"/>
      <c r="R107" s="484"/>
      <c r="S107" s="595"/>
      <c r="T107" s="595"/>
      <c r="U107" s="595"/>
    </row>
    <row r="108" spans="2:21" s="485" customFormat="1" ht="14.1" hidden="1" customHeight="1">
      <c r="B108" s="951"/>
      <c r="C108" s="600" t="s">
        <v>217</v>
      </c>
      <c r="D108" s="619" t="s">
        <v>221</v>
      </c>
      <c r="E108" s="613"/>
      <c r="F108" s="499">
        <f>$F$48</f>
        <v>0.1</v>
      </c>
      <c r="G108" s="605" t="s">
        <v>168</v>
      </c>
      <c r="H108" s="499">
        <f>$H$48</f>
        <v>0.02</v>
      </c>
      <c r="I108" s="621" t="s">
        <v>167</v>
      </c>
      <c r="J108" s="494" t="s">
        <v>216</v>
      </c>
      <c r="K108" s="500">
        <f>ROUND((K107*(F108+H108)),2)</f>
        <v>36318</v>
      </c>
      <c r="L108" s="494"/>
      <c r="M108" s="494"/>
      <c r="N108" s="494"/>
      <c r="Q108" s="595"/>
      <c r="R108" s="484"/>
      <c r="S108" s="595"/>
      <c r="T108" s="595"/>
      <c r="U108" s="595"/>
    </row>
    <row r="109" spans="2:21" s="485" customFormat="1" ht="14.1" hidden="1" customHeight="1">
      <c r="B109" s="951"/>
      <c r="C109" s="622" t="s">
        <v>222</v>
      </c>
      <c r="D109" s="623" t="s">
        <v>67</v>
      </c>
      <c r="E109" s="624"/>
      <c r="F109" s="624"/>
      <c r="G109" s="624"/>
      <c r="H109" s="625"/>
      <c r="I109" s="624"/>
      <c r="J109" s="626" t="s">
        <v>226</v>
      </c>
      <c r="K109" s="627">
        <f>SUM(K107:K108)</f>
        <v>338968</v>
      </c>
      <c r="L109" s="620"/>
      <c r="M109" s="626"/>
      <c r="N109" s="635"/>
      <c r="Q109" s="595"/>
      <c r="R109" s="484"/>
      <c r="S109" s="595"/>
      <c r="T109" s="595"/>
      <c r="U109" s="595"/>
    </row>
    <row r="110" spans="2:21" s="298" customFormat="1" ht="15" hidden="1">
      <c r="B110" s="951"/>
      <c r="C110" s="490"/>
      <c r="D110" s="628"/>
      <c r="E110" s="628"/>
      <c r="F110" s="628"/>
      <c r="G110" s="628"/>
      <c r="H110" s="487"/>
      <c r="I110" s="628"/>
      <c r="J110" s="629"/>
      <c r="K110" s="630"/>
      <c r="L110" s="630"/>
      <c r="M110" s="630"/>
      <c r="N110" s="630"/>
      <c r="O110" s="302"/>
      <c r="Q110" s="595"/>
      <c r="R110" s="484"/>
      <c r="S110" s="595"/>
      <c r="T110" s="595"/>
      <c r="U110" s="595"/>
    </row>
    <row r="111" spans="2:21" s="505" customFormat="1" ht="14.1" customHeight="1">
      <c r="B111" s="951">
        <f>B95+1</f>
        <v>7</v>
      </c>
      <c r="C111" s="488"/>
      <c r="D111" s="485" t="s">
        <v>439</v>
      </c>
      <c r="E111" s="485"/>
      <c r="F111" s="485"/>
      <c r="G111" s="485"/>
      <c r="H111" s="488"/>
      <c r="I111" s="485"/>
      <c r="J111" s="485"/>
      <c r="K111" s="591" t="s">
        <v>441</v>
      </c>
      <c r="L111" s="591"/>
      <c r="M111" s="591"/>
      <c r="N111" s="591"/>
      <c r="O111" s="631" t="str">
        <f>D112</f>
        <v>m3</v>
      </c>
      <c r="P111" s="595">
        <f>K123</f>
        <v>57008</v>
      </c>
      <c r="Q111" s="593">
        <f>L121</f>
        <v>1</v>
      </c>
      <c r="R111" s="484">
        <f>N121</f>
        <v>50900</v>
      </c>
      <c r="S111" s="594"/>
      <c r="T111" s="484"/>
      <c r="U111" s="593"/>
    </row>
    <row r="112" spans="2:21" s="505" customFormat="1" ht="14.1" customHeight="1">
      <c r="B112" s="951"/>
      <c r="C112" s="488"/>
      <c r="D112" s="485" t="s">
        <v>68</v>
      </c>
      <c r="E112" s="485"/>
      <c r="F112" s="485"/>
      <c r="G112" s="485"/>
      <c r="H112" s="488"/>
      <c r="I112" s="485"/>
      <c r="J112" s="485"/>
      <c r="K112" s="485"/>
      <c r="L112" s="485"/>
      <c r="M112" s="485"/>
      <c r="N112" s="485"/>
      <c r="O112" s="631"/>
      <c r="Q112" s="595"/>
      <c r="R112" s="484"/>
      <c r="S112" s="595"/>
      <c r="T112" s="595"/>
      <c r="U112" s="595"/>
    </row>
    <row r="113" spans="2:21" s="505" customFormat="1" ht="14.1" customHeight="1">
      <c r="B113" s="951"/>
      <c r="C113" s="596"/>
      <c r="D113" s="977" t="s">
        <v>55</v>
      </c>
      <c r="E113" s="978"/>
      <c r="F113" s="597"/>
      <c r="G113" s="981" t="s">
        <v>56</v>
      </c>
      <c r="H113" s="981" t="s">
        <v>57</v>
      </c>
      <c r="I113" s="596" t="s">
        <v>58</v>
      </c>
      <c r="J113" s="596" t="s">
        <v>59</v>
      </c>
      <c r="K113" s="596" t="s">
        <v>102</v>
      </c>
      <c r="L113" s="596" t="s">
        <v>418</v>
      </c>
      <c r="M113" s="596" t="s">
        <v>419</v>
      </c>
      <c r="N113" s="596" t="s">
        <v>59</v>
      </c>
      <c r="O113" s="631"/>
      <c r="Q113" s="595"/>
      <c r="R113" s="484"/>
      <c r="S113" s="595"/>
      <c r="T113" s="595"/>
      <c r="U113" s="595"/>
    </row>
    <row r="114" spans="2:21" s="505" customFormat="1" ht="14.1" customHeight="1">
      <c r="B114" s="951"/>
      <c r="C114" s="598" t="s">
        <v>227</v>
      </c>
      <c r="D114" s="979"/>
      <c r="E114" s="980"/>
      <c r="F114" s="599"/>
      <c r="G114" s="982"/>
      <c r="H114" s="982"/>
      <c r="I114" s="598" t="s">
        <v>60</v>
      </c>
      <c r="J114" s="598" t="s">
        <v>61</v>
      </c>
      <c r="K114" s="598" t="s">
        <v>61</v>
      </c>
      <c r="L114" s="598" t="s">
        <v>421</v>
      </c>
      <c r="M114" s="598"/>
      <c r="N114" s="598" t="s">
        <v>423</v>
      </c>
      <c r="O114" s="631"/>
      <c r="Q114" s="595"/>
      <c r="R114" s="484"/>
      <c r="S114" s="595"/>
      <c r="T114" s="595"/>
      <c r="U114" s="595"/>
    </row>
    <row r="115" spans="2:21" s="505" customFormat="1" ht="14.1" customHeight="1">
      <c r="B115" s="951"/>
      <c r="C115" s="600"/>
      <c r="D115" s="969"/>
      <c r="E115" s="970"/>
      <c r="F115" s="601"/>
      <c r="G115" s="973"/>
      <c r="H115" s="973"/>
      <c r="I115" s="600" t="s">
        <v>61</v>
      </c>
      <c r="J115" s="602"/>
      <c r="K115" s="602"/>
      <c r="L115" s="602"/>
      <c r="M115" s="602"/>
      <c r="N115" s="600" t="s">
        <v>61</v>
      </c>
      <c r="O115" s="631"/>
      <c r="Q115" s="595"/>
      <c r="R115" s="484"/>
      <c r="S115" s="595"/>
      <c r="T115" s="595"/>
      <c r="U115" s="595"/>
    </row>
    <row r="116" spans="2:21" s="505" customFormat="1" ht="14.1" customHeight="1">
      <c r="B116" s="951"/>
      <c r="C116" s="596" t="s">
        <v>213</v>
      </c>
      <c r="D116" s="603" t="s">
        <v>63</v>
      </c>
      <c r="E116" s="615" t="s">
        <v>64</v>
      </c>
      <c r="F116" s="615"/>
      <c r="G116" s="605" t="s">
        <v>66</v>
      </c>
      <c r="H116" s="616">
        <v>0.5</v>
      </c>
      <c r="I116" s="632">
        <f>'UPH-TNG'!$I$15</f>
        <v>92000</v>
      </c>
      <c r="J116" s="491">
        <f>ROUND(H116*I116,2)</f>
        <v>46000</v>
      </c>
      <c r="K116" s="492"/>
      <c r="L116" s="493">
        <v>1</v>
      </c>
      <c r="M116" s="493" t="s">
        <v>422</v>
      </c>
      <c r="N116" s="491">
        <f t="shared" ref="N116:N117" si="8">L116*J116</f>
        <v>46000</v>
      </c>
      <c r="O116" s="631"/>
      <c r="Q116" s="595"/>
      <c r="R116" s="484"/>
      <c r="S116" s="595"/>
      <c r="T116" s="595"/>
      <c r="U116" s="595"/>
    </row>
    <row r="117" spans="2:21" s="505" customFormat="1" ht="14.1" customHeight="1">
      <c r="B117" s="951"/>
      <c r="C117" s="598"/>
      <c r="D117" s="607"/>
      <c r="E117" s="615" t="s">
        <v>65</v>
      </c>
      <c r="F117" s="615"/>
      <c r="G117" s="605" t="s">
        <v>66</v>
      </c>
      <c r="H117" s="616">
        <v>0.05</v>
      </c>
      <c r="I117" s="632">
        <f>'UPH-TNG'!$I$20</f>
        <v>98000</v>
      </c>
      <c r="J117" s="491">
        <f>ROUND(H117*I117,2)</f>
        <v>4900</v>
      </c>
      <c r="K117" s="496"/>
      <c r="L117" s="493">
        <v>1</v>
      </c>
      <c r="M117" s="493" t="s">
        <v>422</v>
      </c>
      <c r="N117" s="491">
        <f t="shared" si="8"/>
        <v>4900</v>
      </c>
      <c r="O117" s="631"/>
      <c r="Q117" s="595"/>
      <c r="R117" s="484"/>
      <c r="S117" s="595"/>
      <c r="T117" s="595"/>
      <c r="U117" s="595"/>
    </row>
    <row r="118" spans="2:21" s="505" customFormat="1" ht="14.1" customHeight="1">
      <c r="B118" s="951"/>
      <c r="C118" s="600"/>
      <c r="D118" s="602"/>
      <c r="E118" s="612"/>
      <c r="F118" s="613"/>
      <c r="G118" s="610"/>
      <c r="H118" s="610"/>
      <c r="I118" s="633"/>
      <c r="J118" s="495"/>
      <c r="K118" s="494">
        <f>SUM(J116:J117)</f>
        <v>50900</v>
      </c>
      <c r="L118" s="493"/>
      <c r="M118" s="494"/>
      <c r="N118" s="491">
        <f t="shared" ref="N118:N120" si="9">L118*J118</f>
        <v>0</v>
      </c>
      <c r="O118" s="631"/>
      <c r="Q118" s="595"/>
      <c r="R118" s="484"/>
      <c r="S118" s="595"/>
      <c r="T118" s="595"/>
      <c r="U118" s="595"/>
    </row>
    <row r="119" spans="2:21" s="505" customFormat="1" ht="14.1" customHeight="1">
      <c r="B119" s="951"/>
      <c r="C119" s="596" t="s">
        <v>214</v>
      </c>
      <c r="D119" s="603" t="s">
        <v>212</v>
      </c>
      <c r="E119" s="615"/>
      <c r="F119" s="615"/>
      <c r="G119" s="605"/>
      <c r="H119" s="616"/>
      <c r="I119" s="617"/>
      <c r="J119" s="491"/>
      <c r="K119" s="492"/>
      <c r="L119" s="493"/>
      <c r="M119" s="494"/>
      <c r="N119" s="491">
        <f t="shared" si="9"/>
        <v>0</v>
      </c>
      <c r="O119" s="631"/>
      <c r="Q119" s="595"/>
      <c r="R119" s="484"/>
      <c r="S119" s="595"/>
      <c r="T119" s="595"/>
      <c r="U119" s="595"/>
    </row>
    <row r="120" spans="2:21" s="505" customFormat="1" ht="14.1" customHeight="1">
      <c r="B120" s="951"/>
      <c r="C120" s="600"/>
      <c r="D120" s="602"/>
      <c r="E120" s="612"/>
      <c r="F120" s="613"/>
      <c r="G120" s="610"/>
      <c r="H120" s="614"/>
      <c r="I120" s="618"/>
      <c r="J120" s="495"/>
      <c r="K120" s="494">
        <f>SUM(J119:J119)</f>
        <v>0</v>
      </c>
      <c r="L120" s="493"/>
      <c r="M120" s="494"/>
      <c r="N120" s="491">
        <f t="shared" si="9"/>
        <v>0</v>
      </c>
      <c r="O120" s="631"/>
      <c r="Q120" s="595"/>
      <c r="R120" s="484"/>
      <c r="S120" s="595"/>
      <c r="T120" s="595"/>
      <c r="U120" s="595"/>
    </row>
    <row r="121" spans="2:21" s="505" customFormat="1" ht="14.1" customHeight="1">
      <c r="B121" s="951"/>
      <c r="C121" s="605" t="s">
        <v>215</v>
      </c>
      <c r="D121" s="619" t="s">
        <v>219</v>
      </c>
      <c r="E121" s="613"/>
      <c r="F121" s="613"/>
      <c r="G121" s="610"/>
      <c r="H121" s="614"/>
      <c r="I121" s="618"/>
      <c r="J121" s="497" t="s">
        <v>234</v>
      </c>
      <c r="K121" s="494">
        <f>K118+K120</f>
        <v>50900</v>
      </c>
      <c r="L121" s="620">
        <f>N121/K121</f>
        <v>1</v>
      </c>
      <c r="M121" s="497"/>
      <c r="N121" s="498">
        <f>SUM(N113:N120)</f>
        <v>50900</v>
      </c>
      <c r="O121" s="631"/>
      <c r="Q121" s="595"/>
      <c r="R121" s="484"/>
      <c r="S121" s="595"/>
      <c r="T121" s="595"/>
      <c r="U121" s="595"/>
    </row>
    <row r="122" spans="2:21" s="505" customFormat="1" ht="14.1" customHeight="1">
      <c r="B122" s="951"/>
      <c r="C122" s="600" t="s">
        <v>216</v>
      </c>
      <c r="D122" s="619" t="s">
        <v>221</v>
      </c>
      <c r="E122" s="613"/>
      <c r="F122" s="499">
        <f>$F$48</f>
        <v>0.1</v>
      </c>
      <c r="G122" s="605" t="s">
        <v>168</v>
      </c>
      <c r="H122" s="499">
        <f>$H$48</f>
        <v>0.02</v>
      </c>
      <c r="I122" s="621" t="s">
        <v>167</v>
      </c>
      <c r="J122" s="494" t="s">
        <v>215</v>
      </c>
      <c r="K122" s="500">
        <f>ROUND((K121*(F122+H122)),2)</f>
        <v>6108</v>
      </c>
      <c r="L122" s="494"/>
      <c r="M122" s="494"/>
      <c r="N122" s="494"/>
      <c r="O122" s="631"/>
      <c r="Q122" s="595"/>
      <c r="R122" s="484"/>
      <c r="S122" s="595"/>
      <c r="T122" s="595"/>
      <c r="U122" s="595"/>
    </row>
    <row r="123" spans="2:21" s="505" customFormat="1" ht="14.1" customHeight="1">
      <c r="B123" s="951"/>
      <c r="C123" s="634" t="s">
        <v>217</v>
      </c>
      <c r="D123" s="623" t="s">
        <v>67</v>
      </c>
      <c r="E123" s="624"/>
      <c r="F123" s="624"/>
      <c r="G123" s="624"/>
      <c r="H123" s="625"/>
      <c r="I123" s="624"/>
      <c r="J123" s="626" t="s">
        <v>235</v>
      </c>
      <c r="K123" s="627">
        <f>SUM(K121:K122)</f>
        <v>57008</v>
      </c>
      <c r="L123" s="620"/>
      <c r="M123" s="626"/>
      <c r="N123" s="635"/>
      <c r="O123" s="631"/>
      <c r="Q123" s="595"/>
      <c r="R123" s="484"/>
      <c r="S123" s="595"/>
      <c r="T123" s="595"/>
      <c r="U123" s="595"/>
    </row>
    <row r="124" spans="2:21" s="298" customFormat="1" ht="15">
      <c r="B124" s="951"/>
      <c r="C124" s="490"/>
      <c r="D124" s="628"/>
      <c r="E124" s="628"/>
      <c r="F124" s="628"/>
      <c r="G124" s="628"/>
      <c r="H124" s="487"/>
      <c r="I124" s="628"/>
      <c r="J124" s="629"/>
      <c r="K124" s="630"/>
      <c r="L124" s="630"/>
      <c r="M124" s="630"/>
      <c r="N124" s="630"/>
      <c r="O124" s="302"/>
      <c r="Q124" s="595"/>
      <c r="R124" s="484"/>
      <c r="S124" s="595"/>
      <c r="T124" s="595"/>
      <c r="U124" s="595"/>
    </row>
    <row r="125" spans="2:21" s="485" customFormat="1" ht="14.1" customHeight="1">
      <c r="B125" s="951">
        <f>B111+1</f>
        <v>8</v>
      </c>
      <c r="C125" s="488"/>
      <c r="D125" s="485" t="s">
        <v>507</v>
      </c>
      <c r="H125" s="488"/>
      <c r="K125" s="591" t="s">
        <v>239</v>
      </c>
      <c r="L125" s="591"/>
      <c r="M125" s="591"/>
      <c r="N125" s="591"/>
      <c r="O125" s="485" t="str">
        <f>D126</f>
        <v>m3</v>
      </c>
      <c r="P125" s="636">
        <f>K139</f>
        <v>93833.600000000006</v>
      </c>
      <c r="Q125" s="593">
        <f>L137</f>
        <v>1</v>
      </c>
      <c r="R125" s="484">
        <f>N137</f>
        <v>83780</v>
      </c>
      <c r="S125" s="594"/>
      <c r="T125" s="484"/>
      <c r="U125" s="593"/>
    </row>
    <row r="126" spans="2:21" s="485" customFormat="1" ht="14.1" customHeight="1">
      <c r="B126" s="951"/>
      <c r="C126" s="488"/>
      <c r="D126" s="485" t="s">
        <v>68</v>
      </c>
      <c r="H126" s="488"/>
      <c r="Q126" s="595"/>
      <c r="R126" s="484"/>
      <c r="S126" s="595"/>
      <c r="T126" s="595"/>
      <c r="U126" s="595"/>
    </row>
    <row r="127" spans="2:21" s="485" customFormat="1" ht="14.1" customHeight="1">
      <c r="B127" s="951"/>
      <c r="C127" s="596"/>
      <c r="D127" s="977" t="s">
        <v>55</v>
      </c>
      <c r="E127" s="978"/>
      <c r="F127" s="597"/>
      <c r="G127" s="981" t="s">
        <v>56</v>
      </c>
      <c r="H127" s="981" t="s">
        <v>57</v>
      </c>
      <c r="I127" s="596" t="s">
        <v>58</v>
      </c>
      <c r="J127" s="596" t="s">
        <v>59</v>
      </c>
      <c r="K127" s="596" t="s">
        <v>102</v>
      </c>
      <c r="L127" s="596" t="s">
        <v>418</v>
      </c>
      <c r="M127" s="596" t="s">
        <v>419</v>
      </c>
      <c r="N127" s="596" t="s">
        <v>59</v>
      </c>
      <c r="Q127" s="595"/>
      <c r="R127" s="484"/>
      <c r="S127" s="595"/>
      <c r="T127" s="595"/>
      <c r="U127" s="595"/>
    </row>
    <row r="128" spans="2:21" s="485" customFormat="1" ht="14.1" customHeight="1">
      <c r="B128" s="951"/>
      <c r="C128" s="598" t="s">
        <v>227</v>
      </c>
      <c r="D128" s="979"/>
      <c r="E128" s="980"/>
      <c r="F128" s="599"/>
      <c r="G128" s="982"/>
      <c r="H128" s="982"/>
      <c r="I128" s="598" t="s">
        <v>60</v>
      </c>
      <c r="J128" s="598" t="s">
        <v>61</v>
      </c>
      <c r="K128" s="598" t="s">
        <v>61</v>
      </c>
      <c r="L128" s="598" t="s">
        <v>421</v>
      </c>
      <c r="M128" s="598"/>
      <c r="N128" s="598" t="s">
        <v>423</v>
      </c>
      <c r="Q128" s="595"/>
      <c r="R128" s="484"/>
      <c r="S128" s="595"/>
      <c r="T128" s="595"/>
      <c r="U128" s="595"/>
    </row>
    <row r="129" spans="2:21" s="485" customFormat="1" ht="14.1" customHeight="1">
      <c r="B129" s="951"/>
      <c r="C129" s="600"/>
      <c r="D129" s="969"/>
      <c r="E129" s="970"/>
      <c r="F129" s="601"/>
      <c r="G129" s="973"/>
      <c r="H129" s="973"/>
      <c r="I129" s="600" t="s">
        <v>61</v>
      </c>
      <c r="J129" s="602"/>
      <c r="K129" s="602"/>
      <c r="L129" s="602"/>
      <c r="M129" s="602"/>
      <c r="N129" s="600" t="s">
        <v>61</v>
      </c>
      <c r="Q129" s="595"/>
      <c r="R129" s="484"/>
      <c r="S129" s="595"/>
      <c r="T129" s="595"/>
      <c r="U129" s="595"/>
    </row>
    <row r="130" spans="2:21" s="485" customFormat="1" ht="14.1" customHeight="1">
      <c r="B130" s="951"/>
      <c r="C130" s="596" t="s">
        <v>213</v>
      </c>
      <c r="D130" s="637" t="s">
        <v>62</v>
      </c>
      <c r="E130" s="638" t="s">
        <v>218</v>
      </c>
      <c r="F130" s="638"/>
      <c r="G130" s="600" t="s">
        <v>68</v>
      </c>
      <c r="H130" s="639">
        <v>1.2</v>
      </c>
      <c r="I130" s="640">
        <f>'UPH-TNG'!$I$139</f>
        <v>46000</v>
      </c>
      <c r="J130" s="491">
        <f>ROUND(H130*I130,2)</f>
        <v>55200</v>
      </c>
      <c r="K130" s="492"/>
      <c r="L130" s="493">
        <v>1</v>
      </c>
      <c r="M130" s="494"/>
      <c r="N130" s="491">
        <f t="shared" ref="N130:N136" si="10">L130*J130</f>
        <v>55200</v>
      </c>
      <c r="Q130" s="595"/>
      <c r="R130" s="484"/>
      <c r="S130" s="595"/>
      <c r="T130" s="595"/>
      <c r="U130" s="595"/>
    </row>
    <row r="131" spans="2:21" s="485" customFormat="1" ht="14.1" customHeight="1">
      <c r="B131" s="951"/>
      <c r="C131" s="598"/>
      <c r="D131" s="641"/>
      <c r="E131" s="642"/>
      <c r="F131" s="643"/>
      <c r="G131" s="610"/>
      <c r="H131" s="614"/>
      <c r="I131" s="618"/>
      <c r="J131" s="495"/>
      <c r="K131" s="494">
        <f>SUM(J130)</f>
        <v>55200</v>
      </c>
      <c r="L131" s="493"/>
      <c r="M131" s="494"/>
      <c r="N131" s="491">
        <f t="shared" si="10"/>
        <v>0</v>
      </c>
      <c r="Q131" s="595"/>
      <c r="R131" s="484"/>
      <c r="S131" s="595"/>
      <c r="T131" s="595"/>
      <c r="U131" s="595"/>
    </row>
    <row r="132" spans="2:21" s="485" customFormat="1" ht="14.1" customHeight="1">
      <c r="B132" s="951"/>
      <c r="C132" s="596" t="s">
        <v>214</v>
      </c>
      <c r="D132" s="603" t="s">
        <v>63</v>
      </c>
      <c r="E132" s="615" t="s">
        <v>64</v>
      </c>
      <c r="F132" s="615"/>
      <c r="G132" s="605" t="s">
        <v>66</v>
      </c>
      <c r="H132" s="616">
        <v>0.3</v>
      </c>
      <c r="I132" s="632">
        <f>'UPH-TNG'!$I$15</f>
        <v>92000</v>
      </c>
      <c r="J132" s="491">
        <f>ROUND(H132*I132,2)</f>
        <v>27600</v>
      </c>
      <c r="K132" s="496"/>
      <c r="L132" s="493">
        <v>1</v>
      </c>
      <c r="M132" s="493" t="s">
        <v>422</v>
      </c>
      <c r="N132" s="491">
        <f t="shared" si="10"/>
        <v>27600</v>
      </c>
      <c r="Q132" s="595"/>
      <c r="R132" s="484"/>
      <c r="S132" s="595"/>
      <c r="T132" s="595"/>
      <c r="U132" s="595"/>
    </row>
    <row r="133" spans="2:21" s="485" customFormat="1" ht="14.1" customHeight="1">
      <c r="B133" s="951"/>
      <c r="C133" s="598"/>
      <c r="D133" s="607"/>
      <c r="E133" s="615" t="s">
        <v>65</v>
      </c>
      <c r="F133" s="615"/>
      <c r="G133" s="605" t="s">
        <v>66</v>
      </c>
      <c r="H133" s="616">
        <v>0.01</v>
      </c>
      <c r="I133" s="632">
        <f>'UPH-TNG'!$I$20</f>
        <v>98000</v>
      </c>
      <c r="J133" s="491">
        <f>ROUND(H133*I133,2)</f>
        <v>980</v>
      </c>
      <c r="K133" s="494"/>
      <c r="L133" s="493">
        <v>1</v>
      </c>
      <c r="M133" s="493" t="s">
        <v>422</v>
      </c>
      <c r="N133" s="491">
        <f t="shared" si="10"/>
        <v>980</v>
      </c>
      <c r="Q133" s="595"/>
      <c r="R133" s="484"/>
      <c r="S133" s="595"/>
      <c r="T133" s="595"/>
      <c r="U133" s="595"/>
    </row>
    <row r="134" spans="2:21" s="485" customFormat="1" ht="14.1" customHeight="1">
      <c r="B134" s="951"/>
      <c r="C134" s="600"/>
      <c r="D134" s="602"/>
      <c r="E134" s="612"/>
      <c r="F134" s="613"/>
      <c r="G134" s="610"/>
      <c r="H134" s="614"/>
      <c r="I134" s="633"/>
      <c r="J134" s="644"/>
      <c r="K134" s="645">
        <f>SUM(J132:J133)</f>
        <v>28580</v>
      </c>
      <c r="L134" s="493"/>
      <c r="M134" s="494"/>
      <c r="N134" s="491">
        <f t="shared" si="10"/>
        <v>0</v>
      </c>
      <c r="Q134" s="595"/>
      <c r="R134" s="484"/>
      <c r="S134" s="595"/>
      <c r="T134" s="595"/>
      <c r="U134" s="595"/>
    </row>
    <row r="135" spans="2:21" s="485" customFormat="1" ht="14.1" customHeight="1">
      <c r="B135" s="951"/>
      <c r="C135" s="598" t="s">
        <v>215</v>
      </c>
      <c r="D135" s="603" t="s">
        <v>212</v>
      </c>
      <c r="E135" s="615"/>
      <c r="F135" s="615"/>
      <c r="G135" s="605"/>
      <c r="H135" s="616"/>
      <c r="I135" s="617"/>
      <c r="J135" s="491"/>
      <c r="K135" s="492"/>
      <c r="L135" s="493"/>
      <c r="M135" s="494"/>
      <c r="N135" s="491">
        <f t="shared" si="10"/>
        <v>0</v>
      </c>
      <c r="Q135" s="595"/>
      <c r="R135" s="484"/>
      <c r="S135" s="595"/>
      <c r="T135" s="595"/>
      <c r="U135" s="595"/>
    </row>
    <row r="136" spans="2:21" s="485" customFormat="1" ht="14.1" customHeight="1">
      <c r="B136" s="951"/>
      <c r="C136" s="600"/>
      <c r="D136" s="602"/>
      <c r="E136" s="612"/>
      <c r="F136" s="613"/>
      <c r="G136" s="610"/>
      <c r="H136" s="614"/>
      <c r="I136" s="618"/>
      <c r="J136" s="495"/>
      <c r="K136" s="494">
        <f>SUM(J135:J135)</f>
        <v>0</v>
      </c>
      <c r="L136" s="493"/>
      <c r="M136" s="494"/>
      <c r="N136" s="491">
        <f t="shared" si="10"/>
        <v>0</v>
      </c>
      <c r="Q136" s="595"/>
      <c r="R136" s="484"/>
      <c r="S136" s="595"/>
      <c r="T136" s="595"/>
      <c r="U136" s="595"/>
    </row>
    <row r="137" spans="2:21" s="485" customFormat="1" ht="14.1" customHeight="1">
      <c r="B137" s="951"/>
      <c r="C137" s="605" t="s">
        <v>216</v>
      </c>
      <c r="D137" s="619" t="s">
        <v>219</v>
      </c>
      <c r="E137" s="613"/>
      <c r="F137" s="613"/>
      <c r="G137" s="610"/>
      <c r="H137" s="614"/>
      <c r="I137" s="618"/>
      <c r="J137" s="497" t="s">
        <v>220</v>
      </c>
      <c r="K137" s="494">
        <f>K131+K134+K136</f>
        <v>83780</v>
      </c>
      <c r="L137" s="620">
        <f>N137/K137</f>
        <v>1</v>
      </c>
      <c r="M137" s="497"/>
      <c r="N137" s="498">
        <f>SUM(N129:N136)</f>
        <v>83780</v>
      </c>
      <c r="Q137" s="595"/>
      <c r="R137" s="484"/>
      <c r="S137" s="595"/>
      <c r="T137" s="595"/>
      <c r="U137" s="595"/>
    </row>
    <row r="138" spans="2:21" s="485" customFormat="1" ht="14.1" customHeight="1">
      <c r="B138" s="951"/>
      <c r="C138" s="600" t="s">
        <v>217</v>
      </c>
      <c r="D138" s="619" t="s">
        <v>221</v>
      </c>
      <c r="E138" s="613"/>
      <c r="F138" s="499">
        <f>$F$48</f>
        <v>0.1</v>
      </c>
      <c r="G138" s="605" t="s">
        <v>168</v>
      </c>
      <c r="H138" s="499">
        <f>$H$48</f>
        <v>0.02</v>
      </c>
      <c r="I138" s="621" t="s">
        <v>167</v>
      </c>
      <c r="J138" s="494" t="s">
        <v>216</v>
      </c>
      <c r="K138" s="500">
        <f>ROUND((K137*(F138+H138)),2)</f>
        <v>10053.6</v>
      </c>
      <c r="L138" s="494"/>
      <c r="M138" s="494"/>
      <c r="N138" s="494"/>
      <c r="Q138" s="595"/>
      <c r="R138" s="484"/>
      <c r="S138" s="595"/>
      <c r="T138" s="595"/>
      <c r="U138" s="595"/>
    </row>
    <row r="139" spans="2:21" s="485" customFormat="1" ht="14.1" customHeight="1">
      <c r="B139" s="951"/>
      <c r="C139" s="622" t="s">
        <v>222</v>
      </c>
      <c r="D139" s="623" t="s">
        <v>67</v>
      </c>
      <c r="E139" s="624"/>
      <c r="F139" s="624"/>
      <c r="G139" s="624"/>
      <c r="H139" s="625"/>
      <c r="I139" s="624"/>
      <c r="J139" s="626" t="s">
        <v>226</v>
      </c>
      <c r="K139" s="627">
        <f>SUM(K137:K138)</f>
        <v>93833.600000000006</v>
      </c>
      <c r="L139" s="620"/>
      <c r="M139" s="626"/>
      <c r="N139" s="635"/>
      <c r="Q139" s="595"/>
      <c r="R139" s="484"/>
      <c r="S139" s="595"/>
      <c r="T139" s="595"/>
      <c r="U139" s="595"/>
    </row>
    <row r="140" spans="2:21" s="298" customFormat="1" ht="15">
      <c r="B140" s="951"/>
      <c r="C140" s="490"/>
      <c r="D140" s="628"/>
      <c r="E140" s="628"/>
      <c r="F140" s="628"/>
      <c r="G140" s="628"/>
      <c r="H140" s="487"/>
      <c r="I140" s="628"/>
      <c r="J140" s="629"/>
      <c r="K140" s="630"/>
      <c r="L140" s="630"/>
      <c r="M140" s="630"/>
      <c r="N140" s="630"/>
      <c r="O140" s="302"/>
      <c r="Q140" s="595"/>
      <c r="R140" s="484"/>
      <c r="S140" s="595"/>
      <c r="T140" s="595"/>
      <c r="U140" s="595"/>
    </row>
    <row r="141" spans="2:21" s="505" customFormat="1" ht="14.1" customHeight="1">
      <c r="B141" s="951">
        <f>B125+1</f>
        <v>9</v>
      </c>
      <c r="C141" s="488"/>
      <c r="D141" s="485" t="s">
        <v>508</v>
      </c>
      <c r="E141" s="485"/>
      <c r="F141" s="485"/>
      <c r="G141" s="485"/>
      <c r="H141" s="488"/>
      <c r="I141" s="485"/>
      <c r="J141" s="485"/>
      <c r="K141" s="591" t="s">
        <v>442</v>
      </c>
      <c r="L141" s="591"/>
      <c r="M141" s="591"/>
      <c r="N141" s="591"/>
      <c r="O141" s="631" t="str">
        <f>D142</f>
        <v>m3</v>
      </c>
      <c r="P141" s="595">
        <f>K155</f>
        <v>261833.60000000001</v>
      </c>
      <c r="Q141" s="593">
        <f>L153</f>
        <v>1</v>
      </c>
      <c r="R141" s="484">
        <f>N153</f>
        <v>233780</v>
      </c>
      <c r="S141" s="594"/>
      <c r="T141" s="484"/>
      <c r="U141" s="593"/>
    </row>
    <row r="142" spans="2:21" s="505" customFormat="1" ht="14.1" customHeight="1">
      <c r="B142" s="951"/>
      <c r="C142" s="488"/>
      <c r="D142" s="485" t="s">
        <v>68</v>
      </c>
      <c r="E142" s="485"/>
      <c r="F142" s="485"/>
      <c r="G142" s="485"/>
      <c r="H142" s="488"/>
      <c r="I142" s="485"/>
      <c r="J142" s="485"/>
      <c r="K142" s="485"/>
      <c r="L142" s="485"/>
      <c r="M142" s="485"/>
      <c r="N142" s="485"/>
      <c r="O142" s="631"/>
      <c r="Q142" s="595"/>
      <c r="R142" s="484"/>
      <c r="S142" s="595"/>
      <c r="T142" s="595"/>
      <c r="U142" s="595"/>
    </row>
    <row r="143" spans="2:21" s="505" customFormat="1" ht="14.1" customHeight="1">
      <c r="B143" s="951"/>
      <c r="C143" s="596"/>
      <c r="D143" s="977" t="s">
        <v>55</v>
      </c>
      <c r="E143" s="978"/>
      <c r="F143" s="597"/>
      <c r="G143" s="981" t="s">
        <v>56</v>
      </c>
      <c r="H143" s="981" t="s">
        <v>57</v>
      </c>
      <c r="I143" s="596" t="s">
        <v>58</v>
      </c>
      <c r="J143" s="596" t="s">
        <v>59</v>
      </c>
      <c r="K143" s="596" t="s">
        <v>102</v>
      </c>
      <c r="L143" s="596" t="s">
        <v>418</v>
      </c>
      <c r="M143" s="596" t="s">
        <v>419</v>
      </c>
      <c r="N143" s="596" t="s">
        <v>59</v>
      </c>
      <c r="O143" s="631"/>
      <c r="Q143" s="595"/>
      <c r="R143" s="484"/>
      <c r="S143" s="595"/>
      <c r="T143" s="595"/>
      <c r="U143" s="595"/>
    </row>
    <row r="144" spans="2:21" s="505" customFormat="1" ht="14.1" customHeight="1">
      <c r="B144" s="951"/>
      <c r="C144" s="598" t="s">
        <v>166</v>
      </c>
      <c r="D144" s="979"/>
      <c r="E144" s="980"/>
      <c r="F144" s="599"/>
      <c r="G144" s="982"/>
      <c r="H144" s="982"/>
      <c r="I144" s="598" t="s">
        <v>60</v>
      </c>
      <c r="J144" s="598" t="s">
        <v>61</v>
      </c>
      <c r="K144" s="598" t="s">
        <v>61</v>
      </c>
      <c r="L144" s="598" t="s">
        <v>421</v>
      </c>
      <c r="M144" s="598"/>
      <c r="N144" s="598" t="s">
        <v>423</v>
      </c>
      <c r="O144" s="631"/>
      <c r="Q144" s="595"/>
      <c r="R144" s="484"/>
      <c r="S144" s="595"/>
      <c r="T144" s="595"/>
      <c r="U144" s="595"/>
    </row>
    <row r="145" spans="2:21" s="505" customFormat="1" ht="14.1" customHeight="1">
      <c r="B145" s="951"/>
      <c r="C145" s="600"/>
      <c r="D145" s="969"/>
      <c r="E145" s="970"/>
      <c r="F145" s="601"/>
      <c r="G145" s="973"/>
      <c r="H145" s="973"/>
      <c r="I145" s="600" t="s">
        <v>61</v>
      </c>
      <c r="J145" s="602"/>
      <c r="K145" s="602"/>
      <c r="L145" s="602"/>
      <c r="M145" s="602"/>
      <c r="N145" s="600" t="s">
        <v>61</v>
      </c>
      <c r="O145" s="631"/>
      <c r="Q145" s="595"/>
      <c r="R145" s="484"/>
      <c r="S145" s="595"/>
      <c r="T145" s="595"/>
      <c r="U145" s="595"/>
    </row>
    <row r="146" spans="2:21" s="505" customFormat="1" ht="14.1" customHeight="1">
      <c r="B146" s="951"/>
      <c r="C146" s="596" t="s">
        <v>213</v>
      </c>
      <c r="D146" s="641" t="s">
        <v>62</v>
      </c>
      <c r="E146" s="638" t="s">
        <v>39</v>
      </c>
      <c r="F146" s="638"/>
      <c r="G146" s="600" t="s">
        <v>68</v>
      </c>
      <c r="H146" s="639">
        <v>1.2</v>
      </c>
      <c r="I146" s="640">
        <f>'UPH-TNG'!$I$109</f>
        <v>171000</v>
      </c>
      <c r="J146" s="491">
        <f>ROUND(H146*I146,2)</f>
        <v>205200</v>
      </c>
      <c r="K146" s="492"/>
      <c r="L146" s="493">
        <v>1</v>
      </c>
      <c r="M146" s="494"/>
      <c r="N146" s="491">
        <f t="shared" ref="N146:N152" si="11">L146*J146</f>
        <v>205200</v>
      </c>
      <c r="O146" s="631"/>
      <c r="Q146" s="595"/>
      <c r="R146" s="484"/>
      <c r="S146" s="595"/>
      <c r="T146" s="595"/>
      <c r="U146" s="595"/>
    </row>
    <row r="147" spans="2:21" s="505" customFormat="1" ht="14.1" customHeight="1">
      <c r="B147" s="951"/>
      <c r="C147" s="600"/>
      <c r="D147" s="646"/>
      <c r="E147" s="642"/>
      <c r="F147" s="643"/>
      <c r="G147" s="610"/>
      <c r="H147" s="614"/>
      <c r="I147" s="618"/>
      <c r="J147" s="495"/>
      <c r="K147" s="494">
        <f>SUM(J146)</f>
        <v>205200</v>
      </c>
      <c r="L147" s="493"/>
      <c r="M147" s="494"/>
      <c r="N147" s="491">
        <f t="shared" si="11"/>
        <v>0</v>
      </c>
      <c r="O147" s="631"/>
      <c r="Q147" s="595"/>
      <c r="R147" s="484"/>
      <c r="S147" s="595"/>
      <c r="T147" s="595"/>
      <c r="U147" s="595"/>
    </row>
    <row r="148" spans="2:21" s="505" customFormat="1" ht="14.1" customHeight="1">
      <c r="B148" s="951"/>
      <c r="C148" s="598" t="s">
        <v>214</v>
      </c>
      <c r="D148" s="603" t="s">
        <v>63</v>
      </c>
      <c r="E148" s="615" t="s">
        <v>64</v>
      </c>
      <c r="F148" s="615"/>
      <c r="G148" s="605" t="s">
        <v>66</v>
      </c>
      <c r="H148" s="616">
        <v>0.3</v>
      </c>
      <c r="I148" s="632">
        <f>'UPH-TNG'!$I$15</f>
        <v>92000</v>
      </c>
      <c r="J148" s="491">
        <f>ROUND(H148*I148,2)</f>
        <v>27600</v>
      </c>
      <c r="K148" s="496"/>
      <c r="L148" s="493">
        <v>1</v>
      </c>
      <c r="M148" s="493" t="s">
        <v>422</v>
      </c>
      <c r="N148" s="491">
        <f t="shared" si="11"/>
        <v>27600</v>
      </c>
      <c r="O148" s="631"/>
      <c r="Q148" s="595"/>
      <c r="R148" s="484"/>
      <c r="S148" s="595"/>
      <c r="T148" s="595"/>
      <c r="U148" s="595"/>
    </row>
    <row r="149" spans="2:21" s="505" customFormat="1" ht="14.1" customHeight="1">
      <c r="B149" s="951"/>
      <c r="C149" s="598"/>
      <c r="D149" s="607"/>
      <c r="E149" s="615" t="s">
        <v>65</v>
      </c>
      <c r="F149" s="615"/>
      <c r="G149" s="605" t="s">
        <v>66</v>
      </c>
      <c r="H149" s="616">
        <v>0.01</v>
      </c>
      <c r="I149" s="632">
        <f>'UPH-TNG'!$I$20</f>
        <v>98000</v>
      </c>
      <c r="J149" s="491">
        <f>ROUND(H149*I149,2)</f>
        <v>980</v>
      </c>
      <c r="K149" s="494"/>
      <c r="L149" s="493">
        <v>1</v>
      </c>
      <c r="M149" s="493" t="s">
        <v>422</v>
      </c>
      <c r="N149" s="491">
        <f t="shared" si="11"/>
        <v>980</v>
      </c>
      <c r="O149" s="631"/>
      <c r="Q149" s="595"/>
      <c r="R149" s="484"/>
      <c r="S149" s="595"/>
      <c r="T149" s="595"/>
      <c r="U149" s="595"/>
    </row>
    <row r="150" spans="2:21" s="505" customFormat="1" ht="14.1" customHeight="1">
      <c r="B150" s="951"/>
      <c r="C150" s="600"/>
      <c r="D150" s="602"/>
      <c r="E150" s="612"/>
      <c r="F150" s="613"/>
      <c r="G150" s="610"/>
      <c r="H150" s="614"/>
      <c r="I150" s="633"/>
      <c r="J150" s="644"/>
      <c r="K150" s="645">
        <f>SUM(J148:J149)</f>
        <v>28580</v>
      </c>
      <c r="L150" s="493"/>
      <c r="M150" s="494"/>
      <c r="N150" s="491">
        <f t="shared" si="11"/>
        <v>0</v>
      </c>
      <c r="O150" s="631"/>
      <c r="Q150" s="595"/>
      <c r="R150" s="484"/>
      <c r="S150" s="595"/>
      <c r="T150" s="595"/>
      <c r="U150" s="595"/>
    </row>
    <row r="151" spans="2:21" s="505" customFormat="1" ht="14.1" customHeight="1">
      <c r="B151" s="951"/>
      <c r="C151" s="598" t="s">
        <v>215</v>
      </c>
      <c r="D151" s="603" t="s">
        <v>212</v>
      </c>
      <c r="E151" s="615"/>
      <c r="F151" s="615"/>
      <c r="G151" s="605"/>
      <c r="H151" s="616"/>
      <c r="I151" s="617"/>
      <c r="J151" s="491"/>
      <c r="K151" s="492"/>
      <c r="L151" s="493"/>
      <c r="M151" s="494"/>
      <c r="N151" s="491">
        <f t="shared" si="11"/>
        <v>0</v>
      </c>
      <c r="O151" s="631"/>
      <c r="Q151" s="595"/>
      <c r="R151" s="484"/>
      <c r="S151" s="595"/>
      <c r="T151" s="595"/>
      <c r="U151" s="595"/>
    </row>
    <row r="152" spans="2:21" s="505" customFormat="1" ht="14.1" customHeight="1">
      <c r="B152" s="951"/>
      <c r="C152" s="600"/>
      <c r="D152" s="602"/>
      <c r="E152" s="612"/>
      <c r="F152" s="613"/>
      <c r="G152" s="610"/>
      <c r="H152" s="614"/>
      <c r="I152" s="618"/>
      <c r="J152" s="495"/>
      <c r="K152" s="494">
        <f>SUM(J151:J151)</f>
        <v>0</v>
      </c>
      <c r="L152" s="493"/>
      <c r="M152" s="494"/>
      <c r="N152" s="491">
        <f t="shared" si="11"/>
        <v>0</v>
      </c>
      <c r="O152" s="631"/>
      <c r="Q152" s="595"/>
      <c r="R152" s="484"/>
      <c r="S152" s="595"/>
      <c r="T152" s="595"/>
      <c r="U152" s="595"/>
    </row>
    <row r="153" spans="2:21" s="505" customFormat="1" ht="14.1" customHeight="1">
      <c r="B153" s="951"/>
      <c r="C153" s="600" t="s">
        <v>216</v>
      </c>
      <c r="D153" s="619" t="s">
        <v>219</v>
      </c>
      <c r="E153" s="613"/>
      <c r="F153" s="613"/>
      <c r="G153" s="610"/>
      <c r="H153" s="614"/>
      <c r="I153" s="618"/>
      <c r="J153" s="497" t="s">
        <v>220</v>
      </c>
      <c r="K153" s="494">
        <f>K147+K150+K152</f>
        <v>233780</v>
      </c>
      <c r="L153" s="620">
        <f>N153/K153</f>
        <v>1</v>
      </c>
      <c r="M153" s="497"/>
      <c r="N153" s="498">
        <f>SUM(N145:N152)</f>
        <v>233780</v>
      </c>
      <c r="O153" s="631"/>
      <c r="Q153" s="595"/>
      <c r="R153" s="484"/>
      <c r="S153" s="595"/>
      <c r="T153" s="595"/>
      <c r="U153" s="595"/>
    </row>
    <row r="154" spans="2:21" s="505" customFormat="1" ht="14.1" customHeight="1">
      <c r="B154" s="951"/>
      <c r="C154" s="600" t="s">
        <v>217</v>
      </c>
      <c r="D154" s="619" t="s">
        <v>221</v>
      </c>
      <c r="E154" s="613"/>
      <c r="F154" s="499">
        <f>$F$48</f>
        <v>0.1</v>
      </c>
      <c r="G154" s="605" t="s">
        <v>168</v>
      </c>
      <c r="H154" s="499">
        <f>$H$48</f>
        <v>0.02</v>
      </c>
      <c r="I154" s="621" t="s">
        <v>167</v>
      </c>
      <c r="J154" s="494" t="s">
        <v>216</v>
      </c>
      <c r="K154" s="500">
        <f>ROUND((K153*(F154+H154)),2)</f>
        <v>28053.599999999999</v>
      </c>
      <c r="L154" s="494"/>
      <c r="M154" s="494"/>
      <c r="N154" s="494"/>
      <c r="O154" s="631"/>
      <c r="Q154" s="595"/>
      <c r="R154" s="484"/>
      <c r="S154" s="595"/>
      <c r="T154" s="595"/>
      <c r="U154" s="595"/>
    </row>
    <row r="155" spans="2:21" s="505" customFormat="1" ht="14.1" customHeight="1">
      <c r="B155" s="951"/>
      <c r="C155" s="622" t="s">
        <v>222</v>
      </c>
      <c r="D155" s="623" t="s">
        <v>67</v>
      </c>
      <c r="E155" s="647"/>
      <c r="F155" s="647"/>
      <c r="G155" s="647"/>
      <c r="H155" s="648"/>
      <c r="I155" s="647"/>
      <c r="J155" s="626" t="s">
        <v>226</v>
      </c>
      <c r="K155" s="627">
        <f>SUM(K153:K154)</f>
        <v>261833.60000000001</v>
      </c>
      <c r="L155" s="620"/>
      <c r="M155" s="626"/>
      <c r="N155" s="635"/>
      <c r="O155" s="631"/>
      <c r="Q155" s="595"/>
      <c r="R155" s="484"/>
      <c r="S155" s="595"/>
      <c r="T155" s="595"/>
      <c r="U155" s="595"/>
    </row>
    <row r="156" spans="2:21" s="298" customFormat="1" ht="15">
      <c r="B156" s="951"/>
      <c r="C156" s="490"/>
      <c r="D156" s="628"/>
      <c r="E156" s="628"/>
      <c r="F156" s="628"/>
      <c r="G156" s="628"/>
      <c r="H156" s="487"/>
      <c r="I156" s="628"/>
      <c r="J156" s="629"/>
      <c r="K156" s="630"/>
      <c r="L156" s="630"/>
      <c r="M156" s="630"/>
      <c r="N156" s="630"/>
      <c r="O156" s="302"/>
      <c r="Q156" s="595"/>
      <c r="R156" s="484"/>
      <c r="S156" s="595"/>
      <c r="T156" s="595"/>
      <c r="U156" s="595"/>
    </row>
    <row r="157" spans="2:21" s="485" customFormat="1" ht="14.1" customHeight="1">
      <c r="B157" s="951">
        <f>B141+1</f>
        <v>10</v>
      </c>
      <c r="C157" s="488"/>
      <c r="D157" s="485" t="s">
        <v>223</v>
      </c>
      <c r="H157" s="488"/>
      <c r="K157" s="591" t="s">
        <v>241</v>
      </c>
      <c r="L157" s="591"/>
      <c r="M157" s="591"/>
      <c r="N157" s="591"/>
      <c r="O157" s="485" t="str">
        <f>D158</f>
        <v>m3</v>
      </c>
      <c r="P157" s="636">
        <f>K175</f>
        <v>956026.4</v>
      </c>
      <c r="Q157" s="593">
        <f>L173</f>
        <v>0.98616042444016183</v>
      </c>
      <c r="R157" s="484">
        <f>N173</f>
        <v>841781.60749999993</v>
      </c>
      <c r="S157" s="594"/>
      <c r="T157" s="484"/>
      <c r="U157" s="593"/>
    </row>
    <row r="158" spans="2:21" s="485" customFormat="1" ht="14.1" customHeight="1">
      <c r="B158" s="951"/>
      <c r="C158" s="488"/>
      <c r="D158" s="485" t="s">
        <v>68</v>
      </c>
      <c r="H158" s="488"/>
      <c r="Q158" s="595"/>
      <c r="R158" s="484"/>
      <c r="S158" s="595"/>
      <c r="T158" s="595"/>
      <c r="U158" s="595"/>
    </row>
    <row r="159" spans="2:21" s="485" customFormat="1" ht="14.1" customHeight="1">
      <c r="B159" s="951"/>
      <c r="C159" s="596"/>
      <c r="D159" s="977" t="s">
        <v>55</v>
      </c>
      <c r="E159" s="978"/>
      <c r="F159" s="597"/>
      <c r="G159" s="981" t="s">
        <v>56</v>
      </c>
      <c r="H159" s="981" t="s">
        <v>57</v>
      </c>
      <c r="I159" s="596" t="s">
        <v>58</v>
      </c>
      <c r="J159" s="596" t="s">
        <v>59</v>
      </c>
      <c r="K159" s="596" t="s">
        <v>102</v>
      </c>
      <c r="L159" s="596" t="s">
        <v>418</v>
      </c>
      <c r="M159" s="596" t="s">
        <v>419</v>
      </c>
      <c r="N159" s="596" t="s">
        <v>59</v>
      </c>
      <c r="Q159" s="595"/>
      <c r="R159" s="484"/>
      <c r="S159" s="595"/>
      <c r="T159" s="595"/>
      <c r="U159" s="595"/>
    </row>
    <row r="160" spans="2:21" s="485" customFormat="1" ht="14.1" customHeight="1">
      <c r="B160" s="951"/>
      <c r="C160" s="598" t="s">
        <v>166</v>
      </c>
      <c r="D160" s="979"/>
      <c r="E160" s="980"/>
      <c r="F160" s="599"/>
      <c r="G160" s="982"/>
      <c r="H160" s="982"/>
      <c r="I160" s="598" t="s">
        <v>60</v>
      </c>
      <c r="J160" s="598" t="s">
        <v>61</v>
      </c>
      <c r="K160" s="598" t="s">
        <v>61</v>
      </c>
      <c r="L160" s="598" t="s">
        <v>421</v>
      </c>
      <c r="M160" s="598"/>
      <c r="N160" s="598" t="s">
        <v>423</v>
      </c>
      <c r="Q160" s="595"/>
      <c r="R160" s="484"/>
      <c r="S160" s="595"/>
      <c r="T160" s="595"/>
      <c r="U160" s="595"/>
    </row>
    <row r="161" spans="2:21" s="485" customFormat="1" ht="14.1" customHeight="1">
      <c r="B161" s="951"/>
      <c r="C161" s="600"/>
      <c r="D161" s="969"/>
      <c r="E161" s="970"/>
      <c r="F161" s="601"/>
      <c r="G161" s="973"/>
      <c r="H161" s="973"/>
      <c r="I161" s="600" t="s">
        <v>61</v>
      </c>
      <c r="J161" s="602"/>
      <c r="K161" s="602"/>
      <c r="L161" s="602"/>
      <c r="M161" s="602"/>
      <c r="N161" s="600" t="s">
        <v>61</v>
      </c>
      <c r="Q161" s="595"/>
      <c r="R161" s="484"/>
      <c r="S161" s="595"/>
      <c r="T161" s="595"/>
      <c r="U161" s="595"/>
    </row>
    <row r="162" spans="2:21" s="485" customFormat="1" ht="14.1" customHeight="1">
      <c r="B162" s="951"/>
      <c r="C162" s="598" t="s">
        <v>213</v>
      </c>
      <c r="D162" s="603" t="s">
        <v>62</v>
      </c>
      <c r="E162" s="615" t="s">
        <v>74</v>
      </c>
      <c r="F162" s="615"/>
      <c r="G162" s="605" t="s">
        <v>68</v>
      </c>
      <c r="H162" s="616">
        <v>1.2</v>
      </c>
      <c r="I162" s="632">
        <f>'UPH-TNG'!$I$44</f>
        <v>280000</v>
      </c>
      <c r="J162" s="491">
        <f>ROUND(H162*I162,2)</f>
        <v>336000</v>
      </c>
      <c r="K162" s="492"/>
      <c r="L162" s="499">
        <v>1</v>
      </c>
      <c r="M162" s="494"/>
      <c r="N162" s="491">
        <f t="shared" ref="N162:N172" si="12">L162*J162</f>
        <v>336000</v>
      </c>
      <c r="Q162" s="595"/>
      <c r="R162" s="484"/>
      <c r="S162" s="595"/>
      <c r="T162" s="595"/>
      <c r="U162" s="595"/>
    </row>
    <row r="163" spans="2:21" s="485" customFormat="1" ht="14.1" customHeight="1">
      <c r="B163" s="951"/>
      <c r="C163" s="598"/>
      <c r="D163" s="607"/>
      <c r="E163" s="615" t="s">
        <v>75</v>
      </c>
      <c r="F163" s="615"/>
      <c r="G163" s="605" t="s">
        <v>73</v>
      </c>
      <c r="H163" s="616">
        <v>91</v>
      </c>
      <c r="I163" s="632">
        <f>'UPH-TNG'!$I$104</f>
        <v>1425</v>
      </c>
      <c r="J163" s="491">
        <f>ROUND(H163*I163,2)</f>
        <v>129675</v>
      </c>
      <c r="K163" s="496"/>
      <c r="L163" s="499">
        <v>0.90890000000000004</v>
      </c>
      <c r="M163" s="494" t="s">
        <v>429</v>
      </c>
      <c r="N163" s="491">
        <f t="shared" si="12"/>
        <v>117861.6075</v>
      </c>
      <c r="Q163" s="595" t="s">
        <v>497</v>
      </c>
      <c r="R163" s="484"/>
      <c r="S163" s="595"/>
      <c r="T163" s="595"/>
      <c r="U163" s="595"/>
    </row>
    <row r="164" spans="2:21" s="485" customFormat="1" ht="14.1" customHeight="1">
      <c r="B164" s="951"/>
      <c r="C164" s="598"/>
      <c r="D164" s="607"/>
      <c r="E164" s="615" t="s">
        <v>97</v>
      </c>
      <c r="F164" s="615"/>
      <c r="G164" s="605" t="s">
        <v>68</v>
      </c>
      <c r="H164" s="616">
        <v>0.58399999999999996</v>
      </c>
      <c r="I164" s="632">
        <f>'UPH-TNG'!$I$107</f>
        <v>280000</v>
      </c>
      <c r="J164" s="491">
        <f>ROUND(H164*I164,2)</f>
        <v>163520</v>
      </c>
      <c r="K164" s="511"/>
      <c r="L164" s="499">
        <v>1</v>
      </c>
      <c r="M164" s="494"/>
      <c r="N164" s="491">
        <f t="shared" si="12"/>
        <v>163520</v>
      </c>
      <c r="Q164" s="595"/>
      <c r="R164" s="484"/>
      <c r="S164" s="595"/>
      <c r="T164" s="595"/>
      <c r="U164" s="595"/>
    </row>
    <row r="165" spans="2:21" s="485" customFormat="1" ht="14.1" customHeight="1">
      <c r="B165" s="951"/>
      <c r="C165" s="600"/>
      <c r="D165" s="607"/>
      <c r="E165" s="612"/>
      <c r="F165" s="613"/>
      <c r="G165" s="610"/>
      <c r="H165" s="614"/>
      <c r="I165" s="633"/>
      <c r="J165" s="495"/>
      <c r="K165" s="491">
        <f>SUM(J162:J164)</f>
        <v>629195</v>
      </c>
      <c r="L165" s="501"/>
      <c r="M165" s="494"/>
      <c r="N165" s="491">
        <f t="shared" si="12"/>
        <v>0</v>
      </c>
      <c r="Q165" s="595"/>
      <c r="R165" s="484"/>
      <c r="S165" s="595"/>
      <c r="T165" s="595"/>
      <c r="U165" s="595"/>
    </row>
    <row r="166" spans="2:21" s="485" customFormat="1" ht="14.1" customHeight="1">
      <c r="B166" s="951"/>
      <c r="C166" s="598" t="s">
        <v>214</v>
      </c>
      <c r="D166" s="603" t="s">
        <v>63</v>
      </c>
      <c r="E166" s="615" t="s">
        <v>69</v>
      </c>
      <c r="F166" s="615"/>
      <c r="G166" s="605" t="s">
        <v>66</v>
      </c>
      <c r="H166" s="616">
        <v>1.5</v>
      </c>
      <c r="I166" s="632">
        <f>'UPH-TNG'!$I$15</f>
        <v>92000</v>
      </c>
      <c r="J166" s="491">
        <f>ROUND(H166*I166,2)</f>
        <v>138000</v>
      </c>
      <c r="K166" s="492"/>
      <c r="L166" s="493">
        <v>1</v>
      </c>
      <c r="M166" s="493" t="s">
        <v>422</v>
      </c>
      <c r="N166" s="491">
        <f t="shared" si="12"/>
        <v>138000</v>
      </c>
      <c r="Q166" s="595"/>
      <c r="R166" s="484"/>
      <c r="S166" s="595"/>
      <c r="T166" s="595"/>
      <c r="U166" s="595"/>
    </row>
    <row r="167" spans="2:21" s="485" customFormat="1" ht="14.1" customHeight="1">
      <c r="B167" s="951"/>
      <c r="C167" s="598"/>
      <c r="D167" s="607"/>
      <c r="E167" s="615" t="s">
        <v>70</v>
      </c>
      <c r="F167" s="615"/>
      <c r="G167" s="605" t="s">
        <v>66</v>
      </c>
      <c r="H167" s="616">
        <v>0.75</v>
      </c>
      <c r="I167" s="632">
        <f>'UPH-TNG'!$I$21</f>
        <v>95000</v>
      </c>
      <c r="J167" s="491">
        <f>ROUND(H167*I167,2)</f>
        <v>71250</v>
      </c>
      <c r="K167" s="496"/>
      <c r="L167" s="493">
        <v>1</v>
      </c>
      <c r="M167" s="493" t="s">
        <v>422</v>
      </c>
      <c r="N167" s="491">
        <f t="shared" si="12"/>
        <v>71250</v>
      </c>
      <c r="Q167" s="595"/>
      <c r="R167" s="484"/>
      <c r="S167" s="595"/>
      <c r="T167" s="595"/>
      <c r="U167" s="595"/>
    </row>
    <row r="168" spans="2:21" s="485" customFormat="1" ht="14.1" customHeight="1">
      <c r="B168" s="951"/>
      <c r="C168" s="598"/>
      <c r="D168" s="607"/>
      <c r="E168" s="615" t="s">
        <v>71</v>
      </c>
      <c r="F168" s="615"/>
      <c r="G168" s="605" t="s">
        <v>66</v>
      </c>
      <c r="H168" s="616">
        <v>7.4999999999999997E-2</v>
      </c>
      <c r="I168" s="617">
        <f>'UPH-TNG'!$I$16</f>
        <v>104000</v>
      </c>
      <c r="J168" s="491">
        <f>ROUND(H168*I168,2)</f>
        <v>7800</v>
      </c>
      <c r="K168" s="496"/>
      <c r="L168" s="493">
        <v>1</v>
      </c>
      <c r="M168" s="493" t="s">
        <v>422</v>
      </c>
      <c r="N168" s="491">
        <f t="shared" si="12"/>
        <v>7800</v>
      </c>
      <c r="Q168" s="595"/>
      <c r="R168" s="484"/>
      <c r="S168" s="595"/>
      <c r="T168" s="595"/>
      <c r="U168" s="595"/>
    </row>
    <row r="169" spans="2:21" s="485" customFormat="1" ht="14.1" customHeight="1">
      <c r="B169" s="951"/>
      <c r="C169" s="598"/>
      <c r="D169" s="607"/>
      <c r="E169" s="615" t="s">
        <v>65</v>
      </c>
      <c r="F169" s="615"/>
      <c r="G169" s="605" t="s">
        <v>66</v>
      </c>
      <c r="H169" s="616">
        <v>7.4999999999999997E-2</v>
      </c>
      <c r="I169" s="632">
        <f>'UPH-TNG'!$I$20</f>
        <v>98000</v>
      </c>
      <c r="J169" s="491">
        <f>ROUND(H169*I169,2)</f>
        <v>7350</v>
      </c>
      <c r="K169" s="607"/>
      <c r="L169" s="493">
        <v>1</v>
      </c>
      <c r="M169" s="493" t="s">
        <v>422</v>
      </c>
      <c r="N169" s="491">
        <f t="shared" si="12"/>
        <v>7350</v>
      </c>
      <c r="Q169" s="595"/>
      <c r="R169" s="484"/>
      <c r="S169" s="595"/>
      <c r="T169" s="595"/>
      <c r="U169" s="595"/>
    </row>
    <row r="170" spans="2:21" s="485" customFormat="1" ht="14.1" customHeight="1">
      <c r="B170" s="951"/>
      <c r="C170" s="600"/>
      <c r="D170" s="602"/>
      <c r="E170" s="612"/>
      <c r="F170" s="613"/>
      <c r="G170" s="610"/>
      <c r="H170" s="614"/>
      <c r="I170" s="633"/>
      <c r="J170" s="495"/>
      <c r="K170" s="494">
        <f>SUM(J166:J169)</f>
        <v>224400</v>
      </c>
      <c r="L170" s="501"/>
      <c r="M170" s="494"/>
      <c r="N170" s="491">
        <f t="shared" si="12"/>
        <v>0</v>
      </c>
      <c r="Q170" s="595"/>
      <c r="R170" s="484"/>
      <c r="S170" s="595"/>
      <c r="T170" s="595"/>
      <c r="U170" s="595"/>
    </row>
    <row r="171" spans="2:21" s="485" customFormat="1" ht="14.1" customHeight="1">
      <c r="B171" s="951"/>
      <c r="C171" s="598" t="s">
        <v>215</v>
      </c>
      <c r="D171" s="603" t="s">
        <v>212</v>
      </c>
      <c r="E171" s="615"/>
      <c r="F171" s="615"/>
      <c r="G171" s="605"/>
      <c r="H171" s="616"/>
      <c r="I171" s="617"/>
      <c r="J171" s="491"/>
      <c r="K171" s="492"/>
      <c r="L171" s="501"/>
      <c r="M171" s="494"/>
      <c r="N171" s="491">
        <f t="shared" si="12"/>
        <v>0</v>
      </c>
      <c r="Q171" s="595"/>
      <c r="R171" s="484"/>
      <c r="S171" s="595"/>
      <c r="T171" s="595"/>
      <c r="U171" s="595"/>
    </row>
    <row r="172" spans="2:21" s="485" customFormat="1" ht="14.1" customHeight="1">
      <c r="B172" s="951"/>
      <c r="C172" s="600"/>
      <c r="D172" s="602"/>
      <c r="E172" s="612"/>
      <c r="F172" s="613"/>
      <c r="G172" s="610"/>
      <c r="H172" s="614"/>
      <c r="I172" s="618"/>
      <c r="J172" s="495"/>
      <c r="K172" s="494">
        <f>SUM(J171:J171)</f>
        <v>0</v>
      </c>
      <c r="L172" s="501"/>
      <c r="M172" s="494"/>
      <c r="N172" s="491">
        <f t="shared" si="12"/>
        <v>0</v>
      </c>
      <c r="Q172" s="595"/>
      <c r="R172" s="484"/>
      <c r="S172" s="595"/>
      <c r="T172" s="595"/>
      <c r="U172" s="595"/>
    </row>
    <row r="173" spans="2:21" s="485" customFormat="1" ht="14.1" customHeight="1">
      <c r="B173" s="951"/>
      <c r="C173" s="600" t="s">
        <v>216</v>
      </c>
      <c r="D173" s="619" t="s">
        <v>219</v>
      </c>
      <c r="E173" s="613"/>
      <c r="F173" s="613"/>
      <c r="G173" s="610"/>
      <c r="H173" s="614"/>
      <c r="I173" s="618"/>
      <c r="J173" s="497" t="s">
        <v>220</v>
      </c>
      <c r="K173" s="494">
        <f>K165+K170+K172</f>
        <v>853595</v>
      </c>
      <c r="L173" s="649">
        <f>N173/K173</f>
        <v>0.98616042444016183</v>
      </c>
      <c r="M173" s="497"/>
      <c r="N173" s="498">
        <f>SUM(N161:N172)</f>
        <v>841781.60749999993</v>
      </c>
      <c r="Q173" s="595"/>
      <c r="R173" s="484"/>
      <c r="S173" s="595"/>
      <c r="T173" s="595"/>
      <c r="U173" s="595"/>
    </row>
    <row r="174" spans="2:21" s="485" customFormat="1" ht="14.1" customHeight="1">
      <c r="B174" s="951"/>
      <c r="C174" s="600" t="s">
        <v>217</v>
      </c>
      <c r="D174" s="619" t="s">
        <v>221</v>
      </c>
      <c r="E174" s="613"/>
      <c r="F174" s="499">
        <f>$F$48</f>
        <v>0.1</v>
      </c>
      <c r="G174" s="605" t="s">
        <v>168</v>
      </c>
      <c r="H174" s="499">
        <f>$H$48</f>
        <v>0.02</v>
      </c>
      <c r="I174" s="621" t="s">
        <v>167</v>
      </c>
      <c r="J174" s="494" t="s">
        <v>216</v>
      </c>
      <c r="K174" s="500">
        <f>ROUND((K173*(F174+H174)),2)</f>
        <v>102431.4</v>
      </c>
      <c r="L174" s="494"/>
      <c r="M174" s="494"/>
      <c r="N174" s="494"/>
      <c r="Q174" s="595"/>
      <c r="R174" s="484"/>
      <c r="S174" s="595"/>
      <c r="T174" s="595"/>
      <c r="U174" s="595"/>
    </row>
    <row r="175" spans="2:21" s="485" customFormat="1" ht="14.1" customHeight="1">
      <c r="B175" s="951"/>
      <c r="C175" s="622" t="s">
        <v>222</v>
      </c>
      <c r="D175" s="623" t="s">
        <v>76</v>
      </c>
      <c r="E175" s="624"/>
      <c r="F175" s="624"/>
      <c r="G175" s="624"/>
      <c r="H175" s="625"/>
      <c r="I175" s="624"/>
      <c r="J175" s="626" t="s">
        <v>226</v>
      </c>
      <c r="K175" s="627">
        <f>SUM(K173:K174)</f>
        <v>956026.4</v>
      </c>
      <c r="L175" s="620"/>
      <c r="M175" s="626"/>
      <c r="N175" s="635"/>
      <c r="Q175" s="595"/>
      <c r="R175" s="484"/>
      <c r="S175" s="595"/>
      <c r="T175" s="595"/>
      <c r="U175" s="595"/>
    </row>
    <row r="176" spans="2:21" s="298" customFormat="1" ht="15">
      <c r="B176" s="951"/>
      <c r="C176" s="490"/>
      <c r="D176" s="628"/>
      <c r="E176" s="628"/>
      <c r="F176" s="628"/>
      <c r="G176" s="628"/>
      <c r="H176" s="487"/>
      <c r="I176" s="628"/>
      <c r="J176" s="629"/>
      <c r="K176" s="630"/>
      <c r="L176" s="630"/>
      <c r="M176" s="630"/>
      <c r="N176" s="630"/>
      <c r="O176" s="302"/>
      <c r="Q176" s="595"/>
      <c r="R176" s="484"/>
      <c r="S176" s="595"/>
      <c r="T176" s="595"/>
      <c r="U176" s="595"/>
    </row>
    <row r="177" spans="2:21" s="485" customFormat="1" ht="14.1" hidden="1" customHeight="1">
      <c r="B177" s="951">
        <f>B157+1</f>
        <v>11</v>
      </c>
      <c r="C177" s="488"/>
      <c r="D177" s="485" t="s">
        <v>319</v>
      </c>
      <c r="H177" s="488"/>
      <c r="K177" s="591" t="s">
        <v>289</v>
      </c>
      <c r="L177" s="591"/>
      <c r="M177" s="591"/>
      <c r="N177" s="591"/>
      <c r="O177" s="485" t="str">
        <f>D178</f>
        <v>m3</v>
      </c>
      <c r="P177" s="636">
        <f>K195</f>
        <v>576307.19999999995</v>
      </c>
      <c r="Q177" s="593">
        <f>L193</f>
        <v>1</v>
      </c>
      <c r="R177" s="484">
        <f>N193</f>
        <v>514560</v>
      </c>
      <c r="S177" s="594"/>
      <c r="T177" s="484"/>
      <c r="U177" s="593"/>
    </row>
    <row r="178" spans="2:21" s="485" customFormat="1" ht="14.1" hidden="1" customHeight="1">
      <c r="B178" s="951"/>
      <c r="C178" s="488"/>
      <c r="D178" s="485" t="s">
        <v>68</v>
      </c>
      <c r="H178" s="488"/>
      <c r="Q178" s="595"/>
      <c r="R178" s="484"/>
      <c r="S178" s="595"/>
      <c r="T178" s="595"/>
      <c r="U178" s="595"/>
    </row>
    <row r="179" spans="2:21" s="485" customFormat="1" ht="14.1" hidden="1" customHeight="1">
      <c r="B179" s="951"/>
      <c r="C179" s="488"/>
      <c r="H179" s="488"/>
      <c r="Q179" s="595"/>
      <c r="R179" s="484"/>
      <c r="S179" s="595"/>
      <c r="T179" s="595"/>
      <c r="U179" s="595"/>
    </row>
    <row r="180" spans="2:21" s="485" customFormat="1" ht="14.1" hidden="1" customHeight="1">
      <c r="B180" s="951"/>
      <c r="C180" s="596"/>
      <c r="D180" s="977" t="s">
        <v>55</v>
      </c>
      <c r="E180" s="978"/>
      <c r="F180" s="597"/>
      <c r="G180" s="981" t="s">
        <v>56</v>
      </c>
      <c r="H180" s="981" t="s">
        <v>57</v>
      </c>
      <c r="I180" s="596" t="s">
        <v>58</v>
      </c>
      <c r="J180" s="596" t="s">
        <v>59</v>
      </c>
      <c r="K180" s="596" t="s">
        <v>102</v>
      </c>
      <c r="L180" s="596" t="s">
        <v>418</v>
      </c>
      <c r="M180" s="596" t="s">
        <v>419</v>
      </c>
      <c r="N180" s="596" t="s">
        <v>59</v>
      </c>
      <c r="Q180" s="595"/>
      <c r="R180" s="484"/>
      <c r="S180" s="595"/>
      <c r="T180" s="595"/>
      <c r="U180" s="595"/>
    </row>
    <row r="181" spans="2:21" s="485" customFormat="1" ht="14.1" hidden="1" customHeight="1">
      <c r="B181" s="951"/>
      <c r="C181" s="598" t="s">
        <v>166</v>
      </c>
      <c r="D181" s="979"/>
      <c r="E181" s="980"/>
      <c r="F181" s="599"/>
      <c r="G181" s="982"/>
      <c r="H181" s="982"/>
      <c r="I181" s="598" t="s">
        <v>60</v>
      </c>
      <c r="J181" s="598" t="s">
        <v>61</v>
      </c>
      <c r="K181" s="598" t="s">
        <v>61</v>
      </c>
      <c r="L181" s="598" t="s">
        <v>421</v>
      </c>
      <c r="M181" s="598"/>
      <c r="N181" s="598" t="s">
        <v>423</v>
      </c>
      <c r="Q181" s="595"/>
      <c r="R181" s="484"/>
      <c r="S181" s="595"/>
      <c r="T181" s="595"/>
      <c r="U181" s="595"/>
    </row>
    <row r="182" spans="2:21" s="485" customFormat="1" ht="14.1" hidden="1" customHeight="1">
      <c r="B182" s="951"/>
      <c r="C182" s="600"/>
      <c r="D182" s="969"/>
      <c r="E182" s="970"/>
      <c r="F182" s="601"/>
      <c r="G182" s="973"/>
      <c r="H182" s="973"/>
      <c r="I182" s="600" t="s">
        <v>61</v>
      </c>
      <c r="J182" s="602"/>
      <c r="K182" s="602"/>
      <c r="L182" s="602"/>
      <c r="M182" s="602"/>
      <c r="N182" s="600" t="s">
        <v>61</v>
      </c>
      <c r="Q182" s="595"/>
      <c r="R182" s="484"/>
      <c r="S182" s="595"/>
      <c r="T182" s="595"/>
      <c r="U182" s="595"/>
    </row>
    <row r="183" spans="2:21" s="485" customFormat="1" ht="14.1" hidden="1" customHeight="1">
      <c r="B183" s="951"/>
      <c r="C183" s="598" t="s">
        <v>213</v>
      </c>
      <c r="D183" s="603" t="s">
        <v>62</v>
      </c>
      <c r="E183" s="615" t="s">
        <v>74</v>
      </c>
      <c r="F183" s="615"/>
      <c r="G183" s="605" t="s">
        <v>68</v>
      </c>
      <c r="H183" s="616">
        <v>1.2</v>
      </c>
      <c r="I183" s="632">
        <f>'UPH-TNG'!I46</f>
        <v>270000</v>
      </c>
      <c r="J183" s="491">
        <f>ROUND(H183*I183,2)</f>
        <v>324000</v>
      </c>
      <c r="K183" s="492"/>
      <c r="L183" s="501">
        <v>1</v>
      </c>
      <c r="M183" s="494"/>
      <c r="N183" s="491">
        <f t="shared" ref="N183:N192" si="13">L183*J183</f>
        <v>324000</v>
      </c>
      <c r="Q183" s="595"/>
      <c r="R183" s="484"/>
      <c r="S183" s="595"/>
      <c r="T183" s="595"/>
      <c r="U183" s="595"/>
    </row>
    <row r="184" spans="2:21" s="485" customFormat="1" ht="14.1" hidden="1" customHeight="1">
      <c r="B184" s="951"/>
      <c r="C184" s="598"/>
      <c r="D184" s="607"/>
      <c r="E184" s="615" t="s">
        <v>77</v>
      </c>
      <c r="F184" s="615"/>
      <c r="G184" s="605" t="s">
        <v>68</v>
      </c>
      <c r="H184" s="616">
        <v>0.432</v>
      </c>
      <c r="I184" s="632">
        <f>'UPH-TNG'!$I$109</f>
        <v>171000</v>
      </c>
      <c r="J184" s="491">
        <f>ROUND(H184*I184,2)</f>
        <v>73872</v>
      </c>
      <c r="K184" s="496"/>
      <c r="L184" s="501">
        <v>1</v>
      </c>
      <c r="M184" s="494"/>
      <c r="N184" s="491">
        <f t="shared" si="13"/>
        <v>73872</v>
      </c>
      <c r="Q184" s="595"/>
      <c r="R184" s="484"/>
      <c r="S184" s="595"/>
      <c r="T184" s="595"/>
      <c r="U184" s="595"/>
    </row>
    <row r="185" spans="2:21" s="485" customFormat="1" ht="14.1" hidden="1" customHeight="1">
      <c r="B185" s="951"/>
      <c r="C185" s="598"/>
      <c r="D185" s="607"/>
      <c r="E185" s="612"/>
      <c r="F185" s="613"/>
      <c r="G185" s="610"/>
      <c r="H185" s="614"/>
      <c r="I185" s="633"/>
      <c r="J185" s="495"/>
      <c r="K185" s="491">
        <f>SUM(J183:J184)</f>
        <v>397872</v>
      </c>
      <c r="L185" s="501"/>
      <c r="M185" s="494"/>
      <c r="N185" s="491">
        <f t="shared" si="13"/>
        <v>0</v>
      </c>
      <c r="Q185" s="595"/>
      <c r="R185" s="484"/>
      <c r="S185" s="595"/>
      <c r="T185" s="595"/>
      <c r="U185" s="595"/>
    </row>
    <row r="186" spans="2:21" s="485" customFormat="1" ht="14.1" hidden="1" customHeight="1">
      <c r="B186" s="951"/>
      <c r="C186" s="598" t="s">
        <v>214</v>
      </c>
      <c r="D186" s="603" t="s">
        <v>63</v>
      </c>
      <c r="E186" s="615" t="s">
        <v>69</v>
      </c>
      <c r="F186" s="615"/>
      <c r="G186" s="605" t="s">
        <v>66</v>
      </c>
      <c r="H186" s="616">
        <v>0.78</v>
      </c>
      <c r="I186" s="632">
        <f>'UPH-TNG'!$I$15</f>
        <v>92000</v>
      </c>
      <c r="J186" s="491">
        <f>ROUND(H186*I186,2)</f>
        <v>71760</v>
      </c>
      <c r="K186" s="492"/>
      <c r="L186" s="493">
        <v>1</v>
      </c>
      <c r="M186" s="493" t="s">
        <v>422</v>
      </c>
      <c r="N186" s="491">
        <f t="shared" si="13"/>
        <v>71760</v>
      </c>
      <c r="Q186" s="595"/>
      <c r="R186" s="484"/>
      <c r="S186" s="595"/>
      <c r="T186" s="595"/>
      <c r="U186" s="595"/>
    </row>
    <row r="187" spans="2:21" s="485" customFormat="1" ht="14.1" hidden="1" customHeight="1">
      <c r="B187" s="951"/>
      <c r="C187" s="598"/>
      <c r="D187" s="607"/>
      <c r="E187" s="615" t="s">
        <v>70</v>
      </c>
      <c r="F187" s="615"/>
      <c r="G187" s="605" t="s">
        <v>66</v>
      </c>
      <c r="H187" s="616">
        <v>0.39</v>
      </c>
      <c r="I187" s="632">
        <f>'UPH-TNG'!$I$21</f>
        <v>95000</v>
      </c>
      <c r="J187" s="491">
        <f>ROUND(H187*I187,2)</f>
        <v>37050</v>
      </c>
      <c r="K187" s="496"/>
      <c r="L187" s="493">
        <v>1</v>
      </c>
      <c r="M187" s="493" t="s">
        <v>422</v>
      </c>
      <c r="N187" s="491">
        <f t="shared" si="13"/>
        <v>37050</v>
      </c>
      <c r="Q187" s="595"/>
      <c r="R187" s="484"/>
      <c r="S187" s="595"/>
      <c r="T187" s="595"/>
      <c r="U187" s="595"/>
    </row>
    <row r="188" spans="2:21" s="485" customFormat="1" ht="14.1" hidden="1" customHeight="1">
      <c r="B188" s="951"/>
      <c r="C188" s="598"/>
      <c r="D188" s="607"/>
      <c r="E188" s="615" t="s">
        <v>71</v>
      </c>
      <c r="F188" s="615"/>
      <c r="G188" s="605" t="s">
        <v>66</v>
      </c>
      <c r="H188" s="616">
        <v>3.9E-2</v>
      </c>
      <c r="I188" s="617">
        <f>'UPH-TNG'!$I$16</f>
        <v>104000</v>
      </c>
      <c r="J188" s="491">
        <f>ROUND(H188*I188,2)</f>
        <v>4056</v>
      </c>
      <c r="K188" s="496"/>
      <c r="L188" s="493">
        <v>1</v>
      </c>
      <c r="M188" s="493" t="s">
        <v>422</v>
      </c>
      <c r="N188" s="491">
        <f t="shared" si="13"/>
        <v>4056</v>
      </c>
      <c r="Q188" s="595"/>
      <c r="R188" s="484"/>
      <c r="S188" s="595"/>
      <c r="T188" s="595"/>
      <c r="U188" s="595"/>
    </row>
    <row r="189" spans="2:21" s="485" customFormat="1" ht="14.1" hidden="1" customHeight="1">
      <c r="B189" s="951"/>
      <c r="C189" s="598"/>
      <c r="D189" s="607"/>
      <c r="E189" s="615" t="s">
        <v>65</v>
      </c>
      <c r="F189" s="615"/>
      <c r="G189" s="605" t="s">
        <v>66</v>
      </c>
      <c r="H189" s="616">
        <v>3.9E-2</v>
      </c>
      <c r="I189" s="632">
        <f>'UPH-TNG'!$I$20</f>
        <v>98000</v>
      </c>
      <c r="J189" s="491">
        <f>ROUND(H189*I189,2)</f>
        <v>3822</v>
      </c>
      <c r="K189" s="607"/>
      <c r="L189" s="493">
        <v>1</v>
      </c>
      <c r="M189" s="493" t="s">
        <v>422</v>
      </c>
      <c r="N189" s="491">
        <f t="shared" si="13"/>
        <v>3822</v>
      </c>
      <c r="Q189" s="595"/>
      <c r="R189" s="484"/>
      <c r="S189" s="595"/>
      <c r="T189" s="595"/>
      <c r="U189" s="595"/>
    </row>
    <row r="190" spans="2:21" s="485" customFormat="1" ht="14.1" hidden="1" customHeight="1">
      <c r="B190" s="951"/>
      <c r="C190" s="600"/>
      <c r="D190" s="602"/>
      <c r="E190" s="612"/>
      <c r="F190" s="613"/>
      <c r="G190" s="610"/>
      <c r="H190" s="614"/>
      <c r="I190" s="633"/>
      <c r="J190" s="495"/>
      <c r="K190" s="494">
        <f>SUM(J186:J189)</f>
        <v>116688</v>
      </c>
      <c r="L190" s="501"/>
      <c r="M190" s="494"/>
      <c r="N190" s="491">
        <f t="shared" si="13"/>
        <v>0</v>
      </c>
      <c r="Q190" s="595"/>
      <c r="R190" s="484"/>
      <c r="S190" s="595"/>
      <c r="T190" s="595"/>
      <c r="U190" s="595"/>
    </row>
    <row r="191" spans="2:21" s="485" customFormat="1" ht="14.1" hidden="1" customHeight="1">
      <c r="B191" s="951"/>
      <c r="C191" s="598" t="s">
        <v>215</v>
      </c>
      <c r="D191" s="603" t="s">
        <v>212</v>
      </c>
      <c r="E191" s="615"/>
      <c r="F191" s="615"/>
      <c r="G191" s="605"/>
      <c r="H191" s="616"/>
      <c r="I191" s="617"/>
      <c r="J191" s="491"/>
      <c r="K191" s="492"/>
      <c r="L191" s="501"/>
      <c r="M191" s="494"/>
      <c r="N191" s="491">
        <f t="shared" si="13"/>
        <v>0</v>
      </c>
      <c r="Q191" s="595"/>
      <c r="R191" s="484"/>
      <c r="S191" s="595"/>
      <c r="T191" s="595"/>
      <c r="U191" s="595"/>
    </row>
    <row r="192" spans="2:21" s="485" customFormat="1" ht="14.1" hidden="1" customHeight="1">
      <c r="B192" s="951"/>
      <c r="C192" s="600"/>
      <c r="D192" s="602"/>
      <c r="E192" s="612"/>
      <c r="F192" s="613"/>
      <c r="G192" s="610"/>
      <c r="H192" s="614"/>
      <c r="I192" s="618"/>
      <c r="J192" s="495"/>
      <c r="K192" s="494">
        <f>SUM(J191:J191)</f>
        <v>0</v>
      </c>
      <c r="L192" s="501"/>
      <c r="M192" s="494"/>
      <c r="N192" s="491">
        <f t="shared" si="13"/>
        <v>0</v>
      </c>
      <c r="Q192" s="595"/>
      <c r="R192" s="484"/>
      <c r="S192" s="595"/>
      <c r="T192" s="595"/>
      <c r="U192" s="595"/>
    </row>
    <row r="193" spans="2:21" s="485" customFormat="1" ht="14.1" hidden="1" customHeight="1">
      <c r="B193" s="951"/>
      <c r="C193" s="600" t="s">
        <v>216</v>
      </c>
      <c r="D193" s="619" t="s">
        <v>219</v>
      </c>
      <c r="E193" s="613"/>
      <c r="F193" s="613"/>
      <c r="G193" s="610"/>
      <c r="H193" s="614"/>
      <c r="I193" s="618"/>
      <c r="J193" s="497" t="s">
        <v>220</v>
      </c>
      <c r="K193" s="494">
        <f>K185+K190+K192</f>
        <v>514560</v>
      </c>
      <c r="L193" s="649">
        <f>N193/K193</f>
        <v>1</v>
      </c>
      <c r="M193" s="497"/>
      <c r="N193" s="498">
        <f>SUM(N181:N192)</f>
        <v>514560</v>
      </c>
      <c r="Q193" s="595"/>
      <c r="R193" s="484"/>
      <c r="S193" s="595"/>
      <c r="T193" s="595"/>
      <c r="U193" s="595"/>
    </row>
    <row r="194" spans="2:21" s="485" customFormat="1" ht="14.1" hidden="1" customHeight="1">
      <c r="B194" s="951"/>
      <c r="C194" s="600" t="s">
        <v>217</v>
      </c>
      <c r="D194" s="619" t="s">
        <v>221</v>
      </c>
      <c r="E194" s="613"/>
      <c r="F194" s="499">
        <f>$F$48</f>
        <v>0.1</v>
      </c>
      <c r="G194" s="605" t="s">
        <v>168</v>
      </c>
      <c r="H194" s="499">
        <f>$H$48</f>
        <v>0.02</v>
      </c>
      <c r="I194" s="621" t="s">
        <v>167</v>
      </c>
      <c r="J194" s="494" t="s">
        <v>216</v>
      </c>
      <c r="K194" s="500">
        <f>ROUND((K193*(F194+H194)),2)</f>
        <v>61747.199999999997</v>
      </c>
      <c r="L194" s="494"/>
      <c r="M194" s="494"/>
      <c r="N194" s="494"/>
      <c r="Q194" s="595"/>
      <c r="R194" s="484"/>
      <c r="S194" s="595"/>
      <c r="T194" s="595"/>
      <c r="U194" s="595"/>
    </row>
    <row r="195" spans="2:21" s="485" customFormat="1" ht="14.1" hidden="1" customHeight="1">
      <c r="B195" s="951"/>
      <c r="C195" s="622" t="s">
        <v>222</v>
      </c>
      <c r="D195" s="623" t="s">
        <v>76</v>
      </c>
      <c r="E195" s="624"/>
      <c r="F195" s="624"/>
      <c r="G195" s="624"/>
      <c r="H195" s="625"/>
      <c r="I195" s="624"/>
      <c r="J195" s="626" t="s">
        <v>226</v>
      </c>
      <c r="K195" s="627">
        <f>SUM(K193:K194)</f>
        <v>576307.19999999995</v>
      </c>
      <c r="L195" s="620"/>
      <c r="M195" s="626"/>
      <c r="N195" s="635"/>
      <c r="Q195" s="595"/>
      <c r="R195" s="484"/>
      <c r="S195" s="595"/>
      <c r="T195" s="595"/>
      <c r="U195" s="595"/>
    </row>
    <row r="196" spans="2:21" s="298" customFormat="1" ht="15" hidden="1">
      <c r="B196" s="951"/>
      <c r="C196" s="490"/>
      <c r="D196" s="628"/>
      <c r="E196" s="628"/>
      <c r="F196" s="628"/>
      <c r="G196" s="628"/>
      <c r="H196" s="487"/>
      <c r="I196" s="628"/>
      <c r="J196" s="629"/>
      <c r="K196" s="630"/>
      <c r="L196" s="630"/>
      <c r="M196" s="630"/>
      <c r="N196" s="630"/>
      <c r="O196" s="302"/>
      <c r="Q196" s="595"/>
      <c r="R196" s="484"/>
      <c r="S196" s="595"/>
      <c r="T196" s="595"/>
      <c r="U196" s="595"/>
    </row>
    <row r="197" spans="2:21" s="485" customFormat="1" ht="14.1" hidden="1" customHeight="1">
      <c r="B197" s="951">
        <f>B177+1</f>
        <v>12</v>
      </c>
      <c r="C197" s="488"/>
      <c r="D197" s="485" t="s">
        <v>224</v>
      </c>
      <c r="H197" s="650"/>
      <c r="K197" s="591" t="s">
        <v>296</v>
      </c>
      <c r="L197" s="591"/>
      <c r="M197" s="591"/>
      <c r="N197" s="591"/>
      <c r="O197" s="485" t="str">
        <f>D198</f>
        <v>m2</v>
      </c>
      <c r="P197" s="636">
        <f>K216</f>
        <v>281584.8</v>
      </c>
      <c r="Q197" s="593">
        <f>L214</f>
        <v>0.98853708609271529</v>
      </c>
      <c r="R197" s="484">
        <f>N214</f>
        <v>248533.0515</v>
      </c>
      <c r="S197" s="594"/>
      <c r="T197" s="484"/>
      <c r="U197" s="593"/>
    </row>
    <row r="198" spans="2:21" s="485" customFormat="1" ht="14.1" hidden="1" customHeight="1">
      <c r="B198" s="951"/>
      <c r="C198" s="488"/>
      <c r="D198" s="485" t="s">
        <v>100</v>
      </c>
      <c r="H198" s="650"/>
      <c r="Q198" s="595"/>
      <c r="R198" s="484"/>
      <c r="S198" s="595"/>
      <c r="T198" s="595"/>
      <c r="U198" s="595"/>
    </row>
    <row r="199" spans="2:21" s="485" customFormat="1" ht="14.1" hidden="1" customHeight="1">
      <c r="B199" s="951"/>
      <c r="C199" s="488"/>
      <c r="H199" s="650"/>
      <c r="Q199" s="595"/>
      <c r="R199" s="484"/>
      <c r="S199" s="595"/>
      <c r="T199" s="595"/>
      <c r="U199" s="595"/>
    </row>
    <row r="200" spans="2:21" s="485" customFormat="1" ht="14.1" hidden="1" customHeight="1">
      <c r="B200" s="951"/>
      <c r="C200" s="596"/>
      <c r="D200" s="977" t="s">
        <v>55</v>
      </c>
      <c r="E200" s="978"/>
      <c r="F200" s="597"/>
      <c r="G200" s="981" t="s">
        <v>56</v>
      </c>
      <c r="H200" s="986" t="s">
        <v>57</v>
      </c>
      <c r="I200" s="596" t="s">
        <v>58</v>
      </c>
      <c r="J200" s="596" t="s">
        <v>59</v>
      </c>
      <c r="K200" s="596" t="s">
        <v>102</v>
      </c>
      <c r="L200" s="596" t="s">
        <v>418</v>
      </c>
      <c r="M200" s="596" t="s">
        <v>419</v>
      </c>
      <c r="N200" s="596" t="s">
        <v>59</v>
      </c>
      <c r="Q200" s="595"/>
      <c r="R200" s="484"/>
      <c r="S200" s="595"/>
      <c r="T200" s="595"/>
      <c r="U200" s="595"/>
    </row>
    <row r="201" spans="2:21" s="485" customFormat="1" ht="14.1" hidden="1" customHeight="1">
      <c r="B201" s="951"/>
      <c r="C201" s="598" t="s">
        <v>166</v>
      </c>
      <c r="D201" s="979"/>
      <c r="E201" s="980"/>
      <c r="F201" s="599"/>
      <c r="G201" s="982"/>
      <c r="H201" s="987"/>
      <c r="I201" s="598" t="s">
        <v>60</v>
      </c>
      <c r="J201" s="598" t="s">
        <v>61</v>
      </c>
      <c r="K201" s="598" t="s">
        <v>61</v>
      </c>
      <c r="L201" s="598" t="s">
        <v>421</v>
      </c>
      <c r="M201" s="598"/>
      <c r="N201" s="598" t="s">
        <v>423</v>
      </c>
      <c r="Q201" s="595"/>
      <c r="R201" s="484"/>
      <c r="S201" s="595"/>
      <c r="T201" s="595"/>
      <c r="U201" s="595"/>
    </row>
    <row r="202" spans="2:21" s="485" customFormat="1" ht="14.1" hidden="1" customHeight="1">
      <c r="B202" s="951"/>
      <c r="C202" s="600"/>
      <c r="D202" s="969"/>
      <c r="E202" s="970"/>
      <c r="F202" s="601"/>
      <c r="G202" s="973"/>
      <c r="H202" s="988"/>
      <c r="I202" s="600" t="s">
        <v>61</v>
      </c>
      <c r="J202" s="602"/>
      <c r="K202" s="602"/>
      <c r="L202" s="602"/>
      <c r="M202" s="602"/>
      <c r="N202" s="600" t="s">
        <v>61</v>
      </c>
      <c r="Q202" s="595"/>
      <c r="R202" s="484"/>
      <c r="S202" s="595"/>
      <c r="T202" s="595"/>
      <c r="U202" s="595"/>
    </row>
    <row r="203" spans="2:21" s="485" customFormat="1" ht="14.1" hidden="1" customHeight="1">
      <c r="B203" s="951"/>
      <c r="C203" s="598" t="s">
        <v>213</v>
      </c>
      <c r="D203" s="603" t="s">
        <v>62</v>
      </c>
      <c r="E203" s="615" t="s">
        <v>96</v>
      </c>
      <c r="F203" s="615"/>
      <c r="G203" s="605" t="s">
        <v>91</v>
      </c>
      <c r="H203" s="616">
        <v>140</v>
      </c>
      <c r="I203" s="617">
        <f>'UPH-TNG'!$I$41</f>
        <v>800</v>
      </c>
      <c r="J203" s="491">
        <f>ROUND(H203*I203,2)</f>
        <v>112000</v>
      </c>
      <c r="K203" s="492"/>
      <c r="L203" s="501">
        <v>1</v>
      </c>
      <c r="M203" s="494"/>
      <c r="N203" s="491">
        <f t="shared" ref="N203:N210" si="14">L203*J203</f>
        <v>112000</v>
      </c>
      <c r="Q203" s="595"/>
      <c r="R203" s="484"/>
      <c r="S203" s="595"/>
      <c r="T203" s="595"/>
      <c r="U203" s="595"/>
    </row>
    <row r="204" spans="2:21" s="485" customFormat="1" ht="14.1" hidden="1" customHeight="1">
      <c r="B204" s="951"/>
      <c r="C204" s="598"/>
      <c r="D204" s="607"/>
      <c r="E204" s="615" t="s">
        <v>75</v>
      </c>
      <c r="F204" s="615"/>
      <c r="G204" s="605" t="s">
        <v>73</v>
      </c>
      <c r="H204" s="616">
        <v>22.2</v>
      </c>
      <c r="I204" s="617">
        <f>'UPH-TNG'!$I$104</f>
        <v>1425</v>
      </c>
      <c r="J204" s="491">
        <f>ROUND(H204*I204,2)</f>
        <v>31635</v>
      </c>
      <c r="K204" s="496"/>
      <c r="L204" s="501">
        <f>$L$163</f>
        <v>0.90890000000000004</v>
      </c>
      <c r="M204" s="494" t="s">
        <v>429</v>
      </c>
      <c r="N204" s="491">
        <f t="shared" si="14"/>
        <v>28753.051500000001</v>
      </c>
      <c r="Q204" s="595"/>
      <c r="R204" s="484"/>
      <c r="S204" s="595"/>
      <c r="T204" s="595"/>
      <c r="U204" s="595"/>
    </row>
    <row r="205" spans="2:21" s="485" customFormat="1" ht="14.1" hidden="1" customHeight="1">
      <c r="B205" s="951"/>
      <c r="C205" s="598"/>
      <c r="D205" s="607"/>
      <c r="E205" s="615" t="s">
        <v>97</v>
      </c>
      <c r="F205" s="615"/>
      <c r="G205" s="605" t="s">
        <v>68</v>
      </c>
      <c r="H205" s="616">
        <v>0.10199999999999999</v>
      </c>
      <c r="I205" s="617">
        <f>'UPH-TNG'!$I$107</f>
        <v>280000</v>
      </c>
      <c r="J205" s="491">
        <f>ROUND(H205*I205,2)</f>
        <v>28560</v>
      </c>
      <c r="K205" s="496"/>
      <c r="L205" s="501">
        <v>1</v>
      </c>
      <c r="M205" s="494"/>
      <c r="N205" s="491">
        <f t="shared" si="14"/>
        <v>28560</v>
      </c>
      <c r="Q205" s="595"/>
      <c r="R205" s="484"/>
      <c r="S205" s="595"/>
      <c r="T205" s="595"/>
      <c r="U205" s="595"/>
    </row>
    <row r="206" spans="2:21" s="485" customFormat="1" ht="14.1" hidden="1" customHeight="1">
      <c r="B206" s="951"/>
      <c r="C206" s="600"/>
      <c r="D206" s="607"/>
      <c r="E206" s="612"/>
      <c r="F206" s="613"/>
      <c r="G206" s="610"/>
      <c r="H206" s="614"/>
      <c r="I206" s="618"/>
      <c r="J206" s="495"/>
      <c r="K206" s="491">
        <f>SUM(J203:J205)</f>
        <v>172195</v>
      </c>
      <c r="L206" s="501"/>
      <c r="M206" s="494"/>
      <c r="N206" s="491">
        <f t="shared" si="14"/>
        <v>0</v>
      </c>
      <c r="Q206" s="595"/>
      <c r="R206" s="484"/>
      <c r="S206" s="595"/>
      <c r="T206" s="595"/>
      <c r="U206" s="595"/>
    </row>
    <row r="207" spans="2:21" s="485" customFormat="1" ht="14.1" hidden="1" customHeight="1">
      <c r="B207" s="951"/>
      <c r="C207" s="598" t="s">
        <v>214</v>
      </c>
      <c r="D207" s="603" t="s">
        <v>63</v>
      </c>
      <c r="E207" s="615" t="s">
        <v>69</v>
      </c>
      <c r="F207" s="615"/>
      <c r="G207" s="605" t="s">
        <v>66</v>
      </c>
      <c r="H207" s="616">
        <v>0.6</v>
      </c>
      <c r="I207" s="617">
        <f>'UPH-TNG'!$I$15</f>
        <v>92000</v>
      </c>
      <c r="J207" s="491">
        <f>ROUND(H207*I207,2)</f>
        <v>55200</v>
      </c>
      <c r="K207" s="492"/>
      <c r="L207" s="493">
        <v>1</v>
      </c>
      <c r="M207" s="493" t="s">
        <v>422</v>
      </c>
      <c r="N207" s="491">
        <f t="shared" si="14"/>
        <v>55200</v>
      </c>
      <c r="Q207" s="595"/>
      <c r="R207" s="484"/>
      <c r="S207" s="595"/>
      <c r="T207" s="595"/>
      <c r="U207" s="595"/>
    </row>
    <row r="208" spans="2:21" s="485" customFormat="1" ht="14.1" hidden="1" customHeight="1">
      <c r="B208" s="951"/>
      <c r="C208" s="598"/>
      <c r="D208" s="607"/>
      <c r="E208" s="615" t="s">
        <v>70</v>
      </c>
      <c r="F208" s="615"/>
      <c r="G208" s="605" t="s">
        <v>66</v>
      </c>
      <c r="H208" s="616">
        <v>0.2</v>
      </c>
      <c r="I208" s="617">
        <f>'UPH-TNG'!$I$21</f>
        <v>95000</v>
      </c>
      <c r="J208" s="491">
        <f>ROUND(H208*I208,2)</f>
        <v>19000</v>
      </c>
      <c r="K208" s="496"/>
      <c r="L208" s="493">
        <v>1</v>
      </c>
      <c r="M208" s="493" t="s">
        <v>422</v>
      </c>
      <c r="N208" s="491">
        <f t="shared" si="14"/>
        <v>19000</v>
      </c>
      <c r="Q208" s="595"/>
      <c r="R208" s="484"/>
      <c r="S208" s="595"/>
      <c r="T208" s="595"/>
      <c r="U208" s="595"/>
    </row>
    <row r="209" spans="2:21" s="485" customFormat="1" ht="14.1" hidden="1" customHeight="1">
      <c r="B209" s="951"/>
      <c r="C209" s="598"/>
      <c r="D209" s="607"/>
      <c r="E209" s="615" t="s">
        <v>71</v>
      </c>
      <c r="F209" s="615"/>
      <c r="G209" s="605" t="s">
        <v>66</v>
      </c>
      <c r="H209" s="616">
        <v>0.02</v>
      </c>
      <c r="I209" s="617">
        <f>'UPH-TNG'!$I$16</f>
        <v>104000</v>
      </c>
      <c r="J209" s="491">
        <f>ROUND(H209*I209,2)</f>
        <v>2080</v>
      </c>
      <c r="K209" s="496"/>
      <c r="L209" s="493">
        <v>1</v>
      </c>
      <c r="M209" s="493" t="s">
        <v>422</v>
      </c>
      <c r="N209" s="491">
        <f t="shared" si="14"/>
        <v>2080</v>
      </c>
      <c r="Q209" s="595"/>
      <c r="R209" s="484"/>
      <c r="S209" s="595"/>
      <c r="T209" s="595"/>
      <c r="U209" s="595"/>
    </row>
    <row r="210" spans="2:21" s="485" customFormat="1" ht="14.1" hidden="1" customHeight="1">
      <c r="B210" s="951"/>
      <c r="C210" s="598"/>
      <c r="D210" s="607"/>
      <c r="E210" s="615" t="s">
        <v>65</v>
      </c>
      <c r="F210" s="615"/>
      <c r="G210" s="605" t="s">
        <v>66</v>
      </c>
      <c r="H210" s="616">
        <v>0.03</v>
      </c>
      <c r="I210" s="617">
        <f>'UPH-TNG'!$I$20</f>
        <v>98000</v>
      </c>
      <c r="J210" s="491">
        <f>ROUND(H210*I210,2)</f>
        <v>2940</v>
      </c>
      <c r="K210" s="607"/>
      <c r="L210" s="493">
        <v>1</v>
      </c>
      <c r="M210" s="493" t="s">
        <v>422</v>
      </c>
      <c r="N210" s="491">
        <f t="shared" si="14"/>
        <v>2940</v>
      </c>
      <c r="Q210" s="595"/>
      <c r="R210" s="484"/>
      <c r="S210" s="595"/>
      <c r="T210" s="595"/>
      <c r="U210" s="595"/>
    </row>
    <row r="211" spans="2:21" s="485" customFormat="1" ht="14.1" hidden="1" customHeight="1">
      <c r="B211" s="951"/>
      <c r="C211" s="600"/>
      <c r="D211" s="602"/>
      <c r="E211" s="612"/>
      <c r="F211" s="613"/>
      <c r="G211" s="610"/>
      <c r="H211" s="614"/>
      <c r="I211" s="618"/>
      <c r="J211" s="495"/>
      <c r="K211" s="494">
        <f>SUM(J207:J210)</f>
        <v>79220</v>
      </c>
      <c r="L211" s="501"/>
      <c r="M211" s="494"/>
      <c r="N211" s="491">
        <f t="shared" ref="N211:N213" si="15">L211*J211</f>
        <v>0</v>
      </c>
      <c r="Q211" s="595"/>
      <c r="R211" s="484"/>
      <c r="S211" s="595"/>
      <c r="T211" s="595"/>
      <c r="U211" s="595"/>
    </row>
    <row r="212" spans="2:21" s="485" customFormat="1" ht="14.1" hidden="1" customHeight="1">
      <c r="B212" s="951"/>
      <c r="C212" s="598" t="s">
        <v>215</v>
      </c>
      <c r="D212" s="603" t="s">
        <v>212</v>
      </c>
      <c r="E212" s="615"/>
      <c r="F212" s="615"/>
      <c r="G212" s="605"/>
      <c r="H212" s="616"/>
      <c r="I212" s="617"/>
      <c r="J212" s="491"/>
      <c r="K212" s="492"/>
      <c r="L212" s="501"/>
      <c r="M212" s="494"/>
      <c r="N212" s="491">
        <f t="shared" si="15"/>
        <v>0</v>
      </c>
      <c r="Q212" s="595"/>
      <c r="R212" s="484"/>
      <c r="S212" s="595"/>
      <c r="T212" s="595"/>
      <c r="U212" s="595"/>
    </row>
    <row r="213" spans="2:21" s="485" customFormat="1" ht="14.1" hidden="1" customHeight="1">
      <c r="B213" s="951"/>
      <c r="C213" s="600"/>
      <c r="D213" s="602"/>
      <c r="E213" s="612"/>
      <c r="F213" s="613"/>
      <c r="G213" s="610"/>
      <c r="H213" s="614"/>
      <c r="I213" s="618"/>
      <c r="J213" s="495"/>
      <c r="K213" s="494">
        <f>SUM(J212:J212)</f>
        <v>0</v>
      </c>
      <c r="L213" s="501"/>
      <c r="M213" s="494"/>
      <c r="N213" s="491">
        <f t="shared" si="15"/>
        <v>0</v>
      </c>
      <c r="Q213" s="595"/>
      <c r="R213" s="484"/>
      <c r="S213" s="595"/>
      <c r="T213" s="595"/>
      <c r="U213" s="595"/>
    </row>
    <row r="214" spans="2:21" s="485" customFormat="1" ht="14.1" hidden="1" customHeight="1">
      <c r="B214" s="951"/>
      <c r="C214" s="600" t="s">
        <v>216</v>
      </c>
      <c r="D214" s="619" t="s">
        <v>219</v>
      </c>
      <c r="E214" s="613"/>
      <c r="F214" s="613"/>
      <c r="G214" s="610"/>
      <c r="H214" s="614"/>
      <c r="I214" s="618"/>
      <c r="J214" s="497" t="s">
        <v>220</v>
      </c>
      <c r="K214" s="494">
        <f>K206+K211+K213</f>
        <v>251415</v>
      </c>
      <c r="L214" s="649">
        <f>N214/K214</f>
        <v>0.98853708609271529</v>
      </c>
      <c r="M214" s="497"/>
      <c r="N214" s="498">
        <f>SUM(N202:N213)</f>
        <v>248533.0515</v>
      </c>
      <c r="Q214" s="595"/>
      <c r="R214" s="484"/>
      <c r="S214" s="595"/>
      <c r="T214" s="595"/>
      <c r="U214" s="595"/>
    </row>
    <row r="215" spans="2:21" s="485" customFormat="1" ht="14.1" hidden="1" customHeight="1">
      <c r="B215" s="951"/>
      <c r="C215" s="600" t="s">
        <v>217</v>
      </c>
      <c r="D215" s="619" t="s">
        <v>221</v>
      </c>
      <c r="E215" s="613"/>
      <c r="F215" s="499">
        <f>$F$48</f>
        <v>0.1</v>
      </c>
      <c r="G215" s="605" t="s">
        <v>168</v>
      </c>
      <c r="H215" s="499">
        <f>$H$48</f>
        <v>0.02</v>
      </c>
      <c r="I215" s="621" t="s">
        <v>167</v>
      </c>
      <c r="J215" s="494" t="s">
        <v>216</v>
      </c>
      <c r="K215" s="500">
        <f>ROUND((K214*(F215+H215)),2)</f>
        <v>30169.8</v>
      </c>
      <c r="L215" s="501"/>
      <c r="M215" s="494"/>
      <c r="N215" s="494"/>
      <c r="Q215" s="595"/>
      <c r="R215" s="484"/>
      <c r="S215" s="595"/>
      <c r="T215" s="595"/>
      <c r="U215" s="595"/>
    </row>
    <row r="216" spans="2:21" s="485" customFormat="1" ht="14.1" hidden="1" customHeight="1">
      <c r="B216" s="951"/>
      <c r="C216" s="622" t="s">
        <v>222</v>
      </c>
      <c r="D216" s="623" t="s">
        <v>76</v>
      </c>
      <c r="E216" s="624"/>
      <c r="F216" s="624"/>
      <c r="G216" s="624"/>
      <c r="H216" s="625"/>
      <c r="I216" s="624"/>
      <c r="J216" s="626" t="s">
        <v>226</v>
      </c>
      <c r="K216" s="627">
        <f>SUM(K214:K215)</f>
        <v>281584.8</v>
      </c>
      <c r="L216" s="620"/>
      <c r="M216" s="626"/>
      <c r="N216" s="635"/>
      <c r="Q216" s="595"/>
      <c r="R216" s="484"/>
      <c r="S216" s="595"/>
      <c r="T216" s="595"/>
      <c r="U216" s="595"/>
    </row>
    <row r="217" spans="2:21" s="485" customFormat="1" ht="14.1" hidden="1" customHeight="1">
      <c r="B217" s="948"/>
      <c r="H217" s="650"/>
      <c r="Q217" s="595"/>
      <c r="R217" s="484"/>
      <c r="S217" s="595"/>
      <c r="T217" s="595"/>
      <c r="U217" s="595"/>
    </row>
    <row r="218" spans="2:21" s="485" customFormat="1" ht="14.1" hidden="1" customHeight="1">
      <c r="B218" s="951">
        <f>B197+1</f>
        <v>13</v>
      </c>
      <c r="C218" s="488"/>
      <c r="D218" s="485" t="s">
        <v>480</v>
      </c>
      <c r="H218" s="650"/>
      <c r="K218" s="591" t="s">
        <v>479</v>
      </c>
      <c r="L218" s="591"/>
      <c r="M218" s="591"/>
      <c r="N218" s="591"/>
      <c r="O218" s="485" t="str">
        <f>D219</f>
        <v>m2</v>
      </c>
      <c r="P218" s="636">
        <f>K236</f>
        <v>142561.72</v>
      </c>
      <c r="Q218" s="593">
        <f>L234</f>
        <v>0.98534434929657144</v>
      </c>
      <c r="R218" s="484">
        <f>N234</f>
        <v>125421.77252500001</v>
      </c>
      <c r="S218" s="594"/>
      <c r="T218" s="484"/>
      <c r="U218" s="593"/>
    </row>
    <row r="219" spans="2:21" s="485" customFormat="1" ht="14.1" hidden="1" customHeight="1">
      <c r="B219" s="951"/>
      <c r="C219" s="488"/>
      <c r="D219" s="485" t="s">
        <v>100</v>
      </c>
      <c r="H219" s="650"/>
      <c r="Q219" s="595"/>
      <c r="R219" s="484"/>
      <c r="S219" s="595"/>
      <c r="T219" s="595"/>
      <c r="U219" s="595"/>
    </row>
    <row r="220" spans="2:21" s="485" customFormat="1" ht="14.1" hidden="1" customHeight="1">
      <c r="B220" s="951"/>
      <c r="C220" s="596"/>
      <c r="D220" s="977" t="s">
        <v>55</v>
      </c>
      <c r="E220" s="978"/>
      <c r="F220" s="597"/>
      <c r="G220" s="981" t="s">
        <v>56</v>
      </c>
      <c r="H220" s="986" t="s">
        <v>57</v>
      </c>
      <c r="I220" s="596" t="s">
        <v>58</v>
      </c>
      <c r="J220" s="596" t="s">
        <v>59</v>
      </c>
      <c r="K220" s="596" t="s">
        <v>102</v>
      </c>
      <c r="L220" s="596" t="s">
        <v>418</v>
      </c>
      <c r="M220" s="596" t="s">
        <v>419</v>
      </c>
      <c r="N220" s="596" t="s">
        <v>59</v>
      </c>
      <c r="Q220" s="595"/>
      <c r="R220" s="484"/>
      <c r="S220" s="595"/>
      <c r="T220" s="595"/>
      <c r="U220" s="595"/>
    </row>
    <row r="221" spans="2:21" s="485" customFormat="1" ht="14.1" hidden="1" customHeight="1">
      <c r="B221" s="951"/>
      <c r="C221" s="598" t="s">
        <v>227</v>
      </c>
      <c r="D221" s="979"/>
      <c r="E221" s="980"/>
      <c r="F221" s="599"/>
      <c r="G221" s="982"/>
      <c r="H221" s="987"/>
      <c r="I221" s="598" t="s">
        <v>60</v>
      </c>
      <c r="J221" s="598" t="s">
        <v>61</v>
      </c>
      <c r="K221" s="598" t="s">
        <v>61</v>
      </c>
      <c r="L221" s="598" t="s">
        <v>421</v>
      </c>
      <c r="M221" s="598"/>
      <c r="N221" s="598" t="s">
        <v>423</v>
      </c>
      <c r="Q221" s="595"/>
      <c r="R221" s="484"/>
      <c r="S221" s="595"/>
      <c r="T221" s="595"/>
      <c r="U221" s="595"/>
    </row>
    <row r="222" spans="2:21" s="485" customFormat="1" ht="14.1" hidden="1" customHeight="1">
      <c r="B222" s="951"/>
      <c r="C222" s="600"/>
      <c r="D222" s="969"/>
      <c r="E222" s="970"/>
      <c r="F222" s="601"/>
      <c r="G222" s="973"/>
      <c r="H222" s="988"/>
      <c r="I222" s="600" t="s">
        <v>61</v>
      </c>
      <c r="J222" s="602"/>
      <c r="K222" s="602"/>
      <c r="L222" s="602"/>
      <c r="M222" s="602"/>
      <c r="N222" s="600" t="s">
        <v>61</v>
      </c>
      <c r="Q222" s="595"/>
      <c r="R222" s="484"/>
      <c r="S222" s="595"/>
      <c r="T222" s="595"/>
      <c r="U222" s="595"/>
    </row>
    <row r="223" spans="2:21" s="485" customFormat="1" ht="14.1" hidden="1" customHeight="1">
      <c r="B223" s="951"/>
      <c r="C223" s="598" t="s">
        <v>213</v>
      </c>
      <c r="D223" s="603" t="s">
        <v>62</v>
      </c>
      <c r="E223" s="615" t="s">
        <v>96</v>
      </c>
      <c r="F223" s="615"/>
      <c r="G223" s="605" t="s">
        <v>91</v>
      </c>
      <c r="H223" s="616">
        <v>70</v>
      </c>
      <c r="I223" s="617">
        <f>'UPH-TNG'!$I$41</f>
        <v>800</v>
      </c>
      <c r="J223" s="491">
        <f>ROUND(H223*I223,2)</f>
        <v>56000</v>
      </c>
      <c r="K223" s="492"/>
      <c r="L223" s="501">
        <v>1</v>
      </c>
      <c r="M223" s="494"/>
      <c r="N223" s="491">
        <f t="shared" ref="N223:N233" si="16">L223*J223</f>
        <v>56000</v>
      </c>
      <c r="Q223" s="595"/>
      <c r="R223" s="484"/>
      <c r="S223" s="595"/>
      <c r="T223" s="595"/>
      <c r="U223" s="595"/>
    </row>
    <row r="224" spans="2:21" s="485" customFormat="1" ht="14.1" hidden="1" customHeight="1">
      <c r="B224" s="951"/>
      <c r="C224" s="598"/>
      <c r="D224" s="607"/>
      <c r="E224" s="615" t="s">
        <v>75</v>
      </c>
      <c r="F224" s="615"/>
      <c r="G224" s="605" t="s">
        <v>73</v>
      </c>
      <c r="H224" s="616">
        <v>14.37</v>
      </c>
      <c r="I224" s="617">
        <f>'UPH-TNG'!$I$104</f>
        <v>1425</v>
      </c>
      <c r="J224" s="491">
        <f>ROUND(H224*I224,2)</f>
        <v>20477.25</v>
      </c>
      <c r="K224" s="496"/>
      <c r="L224" s="501">
        <f>$L$163</f>
        <v>0.90890000000000004</v>
      </c>
      <c r="M224" s="494" t="s">
        <v>429</v>
      </c>
      <c r="N224" s="491">
        <f t="shared" si="16"/>
        <v>18611.772525</v>
      </c>
      <c r="Q224" s="595"/>
      <c r="R224" s="484"/>
      <c r="S224" s="595"/>
      <c r="T224" s="595"/>
      <c r="U224" s="595"/>
    </row>
    <row r="225" spans="2:21" s="485" customFormat="1" ht="14.1" hidden="1" customHeight="1">
      <c r="B225" s="951"/>
      <c r="C225" s="598"/>
      <c r="D225" s="607"/>
      <c r="E225" s="615" t="s">
        <v>97</v>
      </c>
      <c r="F225" s="615"/>
      <c r="G225" s="605" t="s">
        <v>68</v>
      </c>
      <c r="H225" s="616">
        <v>0.04</v>
      </c>
      <c r="I225" s="617">
        <f>'UPH-TNG'!$I$107</f>
        <v>280000</v>
      </c>
      <c r="J225" s="491">
        <f>ROUND(H225*I225,2)</f>
        <v>11200</v>
      </c>
      <c r="K225" s="496"/>
      <c r="L225" s="501">
        <v>1</v>
      </c>
      <c r="M225" s="494"/>
      <c r="N225" s="491">
        <f t="shared" si="16"/>
        <v>11200</v>
      </c>
      <c r="Q225" s="595"/>
      <c r="R225" s="484"/>
      <c r="S225" s="595"/>
      <c r="T225" s="595"/>
      <c r="U225" s="595"/>
    </row>
    <row r="226" spans="2:21" s="485" customFormat="1" ht="14.1" hidden="1" customHeight="1">
      <c r="B226" s="951"/>
      <c r="C226" s="600"/>
      <c r="D226" s="607"/>
      <c r="E226" s="612"/>
      <c r="F226" s="613"/>
      <c r="G226" s="610"/>
      <c r="H226" s="614"/>
      <c r="I226" s="618"/>
      <c r="J226" s="495"/>
      <c r="K226" s="491">
        <f>SUM(J223:J225)</f>
        <v>87677.25</v>
      </c>
      <c r="L226" s="501"/>
      <c r="M226" s="494"/>
      <c r="N226" s="491">
        <f t="shared" si="16"/>
        <v>0</v>
      </c>
      <c r="Q226" s="595"/>
      <c r="R226" s="484"/>
      <c r="S226" s="595"/>
      <c r="T226" s="595"/>
      <c r="U226" s="595"/>
    </row>
    <row r="227" spans="2:21" s="485" customFormat="1" ht="14.1" hidden="1" customHeight="1">
      <c r="B227" s="951"/>
      <c r="C227" s="598" t="s">
        <v>214</v>
      </c>
      <c r="D227" s="603" t="s">
        <v>63</v>
      </c>
      <c r="E227" s="615" t="s">
        <v>69</v>
      </c>
      <c r="F227" s="615"/>
      <c r="G227" s="605" t="s">
        <v>66</v>
      </c>
      <c r="H227" s="616">
        <v>0.3</v>
      </c>
      <c r="I227" s="617">
        <f>'UPH-TNG'!$I$15</f>
        <v>92000</v>
      </c>
      <c r="J227" s="491">
        <f>ROUND(H227*I227,2)</f>
        <v>27600</v>
      </c>
      <c r="K227" s="492"/>
      <c r="L227" s="493">
        <v>1</v>
      </c>
      <c r="M227" s="493" t="s">
        <v>422</v>
      </c>
      <c r="N227" s="491">
        <f t="shared" si="16"/>
        <v>27600</v>
      </c>
      <c r="Q227" s="595"/>
      <c r="R227" s="484"/>
      <c r="S227" s="595"/>
      <c r="T227" s="595"/>
      <c r="U227" s="595"/>
    </row>
    <row r="228" spans="2:21" s="485" customFormat="1" ht="14.1" hidden="1" customHeight="1">
      <c r="B228" s="951"/>
      <c r="C228" s="598"/>
      <c r="D228" s="607"/>
      <c r="E228" s="615" t="s">
        <v>70</v>
      </c>
      <c r="F228" s="615"/>
      <c r="G228" s="605" t="s">
        <v>66</v>
      </c>
      <c r="H228" s="616">
        <v>0.1</v>
      </c>
      <c r="I228" s="617">
        <f>'UPH-TNG'!$I$21</f>
        <v>95000</v>
      </c>
      <c r="J228" s="491">
        <f>ROUND(H228*I228,2)</f>
        <v>9500</v>
      </c>
      <c r="K228" s="496"/>
      <c r="L228" s="493">
        <v>1</v>
      </c>
      <c r="M228" s="493" t="s">
        <v>422</v>
      </c>
      <c r="N228" s="491">
        <f t="shared" si="16"/>
        <v>9500</v>
      </c>
      <c r="Q228" s="595"/>
      <c r="R228" s="484"/>
      <c r="S228" s="595"/>
      <c r="T228" s="595"/>
      <c r="U228" s="595"/>
    </row>
    <row r="229" spans="2:21" s="485" customFormat="1" ht="14.1" hidden="1" customHeight="1">
      <c r="B229" s="951"/>
      <c r="C229" s="598"/>
      <c r="D229" s="607"/>
      <c r="E229" s="615" t="s">
        <v>71</v>
      </c>
      <c r="F229" s="615"/>
      <c r="G229" s="605" t="s">
        <v>66</v>
      </c>
      <c r="H229" s="616">
        <v>0.01</v>
      </c>
      <c r="I229" s="617">
        <f>'UPH-TNG'!$I$16</f>
        <v>104000</v>
      </c>
      <c r="J229" s="491">
        <f>ROUND(H229*I229,2)</f>
        <v>1040</v>
      </c>
      <c r="K229" s="496"/>
      <c r="L229" s="493">
        <v>1</v>
      </c>
      <c r="M229" s="493" t="s">
        <v>422</v>
      </c>
      <c r="N229" s="491">
        <f t="shared" si="16"/>
        <v>1040</v>
      </c>
      <c r="Q229" s="595"/>
      <c r="R229" s="484"/>
      <c r="S229" s="595"/>
      <c r="T229" s="595"/>
      <c r="U229" s="595"/>
    </row>
    <row r="230" spans="2:21" s="485" customFormat="1" ht="14.1" hidden="1" customHeight="1">
      <c r="B230" s="951"/>
      <c r="C230" s="598"/>
      <c r="D230" s="607"/>
      <c r="E230" s="615" t="s">
        <v>65</v>
      </c>
      <c r="F230" s="615"/>
      <c r="G230" s="605" t="s">
        <v>66</v>
      </c>
      <c r="H230" s="616">
        <v>1.4999999999999999E-2</v>
      </c>
      <c r="I230" s="617">
        <f>'UPH-TNG'!$I$20</f>
        <v>98000</v>
      </c>
      <c r="J230" s="491">
        <f>ROUND(H230*I230,2)</f>
        <v>1470</v>
      </c>
      <c r="K230" s="607"/>
      <c r="L230" s="493">
        <v>1</v>
      </c>
      <c r="M230" s="493" t="s">
        <v>422</v>
      </c>
      <c r="N230" s="491">
        <f t="shared" si="16"/>
        <v>1470</v>
      </c>
      <c r="Q230" s="595"/>
      <c r="R230" s="484"/>
      <c r="S230" s="595"/>
      <c r="T230" s="595"/>
      <c r="U230" s="595"/>
    </row>
    <row r="231" spans="2:21" s="485" customFormat="1" ht="14.1" hidden="1" customHeight="1">
      <c r="B231" s="951"/>
      <c r="C231" s="600"/>
      <c r="D231" s="602"/>
      <c r="E231" s="612"/>
      <c r="F231" s="613"/>
      <c r="G231" s="610"/>
      <c r="H231" s="614"/>
      <c r="I231" s="618"/>
      <c r="J231" s="495"/>
      <c r="K231" s="494">
        <f>SUM(J227:J230)</f>
        <v>39610</v>
      </c>
      <c r="L231" s="501"/>
      <c r="M231" s="494"/>
      <c r="N231" s="491">
        <f t="shared" si="16"/>
        <v>0</v>
      </c>
      <c r="Q231" s="595"/>
      <c r="R231" s="484"/>
      <c r="S231" s="595"/>
      <c r="T231" s="595"/>
      <c r="U231" s="595"/>
    </row>
    <row r="232" spans="2:21" s="485" customFormat="1" ht="14.1" hidden="1" customHeight="1">
      <c r="B232" s="951"/>
      <c r="C232" s="598" t="s">
        <v>215</v>
      </c>
      <c r="D232" s="603" t="s">
        <v>212</v>
      </c>
      <c r="E232" s="615"/>
      <c r="F232" s="615"/>
      <c r="G232" s="605"/>
      <c r="H232" s="616"/>
      <c r="I232" s="617"/>
      <c r="J232" s="491"/>
      <c r="K232" s="492"/>
      <c r="L232" s="501"/>
      <c r="M232" s="494"/>
      <c r="N232" s="491">
        <f t="shared" si="16"/>
        <v>0</v>
      </c>
      <c r="Q232" s="595"/>
      <c r="R232" s="484"/>
      <c r="S232" s="595"/>
      <c r="T232" s="595"/>
      <c r="U232" s="595"/>
    </row>
    <row r="233" spans="2:21" s="485" customFormat="1" ht="14.1" hidden="1" customHeight="1">
      <c r="B233" s="951"/>
      <c r="C233" s="600"/>
      <c r="D233" s="602"/>
      <c r="E233" s="612"/>
      <c r="F233" s="613"/>
      <c r="G233" s="610"/>
      <c r="H233" s="614"/>
      <c r="I233" s="618"/>
      <c r="J233" s="495"/>
      <c r="K233" s="494">
        <f>SUM(J232:J232)</f>
        <v>0</v>
      </c>
      <c r="L233" s="501"/>
      <c r="M233" s="494"/>
      <c r="N233" s="491">
        <f t="shared" si="16"/>
        <v>0</v>
      </c>
      <c r="Q233" s="595"/>
      <c r="R233" s="484"/>
      <c r="S233" s="595"/>
      <c r="T233" s="595"/>
      <c r="U233" s="595"/>
    </row>
    <row r="234" spans="2:21" s="485" customFormat="1" ht="14.1" hidden="1" customHeight="1">
      <c r="B234" s="951"/>
      <c r="C234" s="600" t="s">
        <v>216</v>
      </c>
      <c r="D234" s="619" t="s">
        <v>219</v>
      </c>
      <c r="E234" s="613"/>
      <c r="F234" s="613"/>
      <c r="G234" s="610"/>
      <c r="H234" s="614"/>
      <c r="I234" s="618"/>
      <c r="J234" s="497" t="s">
        <v>220</v>
      </c>
      <c r="K234" s="494">
        <f>K226+K231+K233</f>
        <v>127287.25</v>
      </c>
      <c r="L234" s="649">
        <f>N234/K234</f>
        <v>0.98534434929657144</v>
      </c>
      <c r="M234" s="497"/>
      <c r="N234" s="498">
        <f>SUM(N222:N233)</f>
        <v>125421.77252500001</v>
      </c>
      <c r="Q234" s="595"/>
      <c r="R234" s="484"/>
      <c r="S234" s="595"/>
      <c r="T234" s="595"/>
      <c r="U234" s="595"/>
    </row>
    <row r="235" spans="2:21" s="485" customFormat="1" ht="14.1" hidden="1" customHeight="1">
      <c r="B235" s="951"/>
      <c r="C235" s="600" t="s">
        <v>217</v>
      </c>
      <c r="D235" s="619" t="s">
        <v>221</v>
      </c>
      <c r="E235" s="613"/>
      <c r="F235" s="499">
        <f>$F$48</f>
        <v>0.1</v>
      </c>
      <c r="G235" s="605" t="s">
        <v>168</v>
      </c>
      <c r="H235" s="499">
        <f>$H$48</f>
        <v>0.02</v>
      </c>
      <c r="I235" s="621" t="s">
        <v>167</v>
      </c>
      <c r="J235" s="494" t="s">
        <v>216</v>
      </c>
      <c r="K235" s="500">
        <f>ROUND((K234*(F235+H235)),2)</f>
        <v>15274.47</v>
      </c>
      <c r="L235" s="494"/>
      <c r="M235" s="494"/>
      <c r="N235" s="494"/>
      <c r="Q235" s="595"/>
      <c r="R235" s="484"/>
      <c r="S235" s="595"/>
      <c r="T235" s="595"/>
      <c r="U235" s="595"/>
    </row>
    <row r="236" spans="2:21" s="485" customFormat="1" ht="14.1" hidden="1" customHeight="1">
      <c r="B236" s="951"/>
      <c r="C236" s="622" t="s">
        <v>222</v>
      </c>
      <c r="D236" s="623" t="s">
        <v>76</v>
      </c>
      <c r="E236" s="624"/>
      <c r="F236" s="624"/>
      <c r="G236" s="624"/>
      <c r="H236" s="625"/>
      <c r="I236" s="624"/>
      <c r="J236" s="626" t="s">
        <v>226</v>
      </c>
      <c r="K236" s="627">
        <f>SUM(K234:K235)</f>
        <v>142561.72</v>
      </c>
      <c r="L236" s="620"/>
      <c r="M236" s="626"/>
      <c r="N236" s="635"/>
      <c r="Q236" s="595"/>
      <c r="R236" s="484"/>
      <c r="S236" s="595"/>
      <c r="T236" s="595"/>
      <c r="U236" s="595"/>
    </row>
    <row r="237" spans="2:21" s="485" customFormat="1" ht="14.1" hidden="1" customHeight="1">
      <c r="B237" s="948"/>
      <c r="H237" s="650"/>
      <c r="Q237" s="595"/>
      <c r="R237" s="484"/>
      <c r="S237" s="595"/>
      <c r="T237" s="595"/>
      <c r="U237" s="595"/>
    </row>
    <row r="238" spans="2:21" s="485" customFormat="1" ht="14.1" customHeight="1">
      <c r="B238" s="951">
        <f>B218+1</f>
        <v>14</v>
      </c>
      <c r="C238" s="488"/>
      <c r="D238" s="485" t="s">
        <v>270</v>
      </c>
      <c r="H238" s="650"/>
      <c r="K238" s="591" t="s">
        <v>244</v>
      </c>
      <c r="L238" s="591"/>
      <c r="M238" s="591"/>
      <c r="N238" s="591"/>
      <c r="O238" s="485" t="str">
        <f>D239</f>
        <v>m2</v>
      </c>
      <c r="P238" s="636">
        <f>K256</f>
        <v>133137.20000000001</v>
      </c>
      <c r="Q238" s="593">
        <f>L254</f>
        <v>0.99290152263980314</v>
      </c>
      <c r="R238" s="484">
        <f>N254</f>
        <v>118028.68625</v>
      </c>
      <c r="S238" s="594"/>
      <c r="T238" s="484"/>
      <c r="U238" s="593"/>
    </row>
    <row r="239" spans="2:21" s="485" customFormat="1" ht="14.1" customHeight="1">
      <c r="B239" s="951"/>
      <c r="C239" s="488"/>
      <c r="D239" s="485" t="s">
        <v>100</v>
      </c>
      <c r="H239" s="650"/>
      <c r="Q239" s="595"/>
      <c r="R239" s="484"/>
      <c r="S239" s="595"/>
      <c r="T239" s="595"/>
      <c r="U239" s="595"/>
    </row>
    <row r="240" spans="2:21" s="485" customFormat="1" ht="14.1" customHeight="1">
      <c r="B240" s="951"/>
      <c r="C240" s="596"/>
      <c r="D240" s="977" t="s">
        <v>55</v>
      </c>
      <c r="E240" s="978"/>
      <c r="F240" s="597"/>
      <c r="G240" s="981" t="s">
        <v>56</v>
      </c>
      <c r="H240" s="986" t="s">
        <v>57</v>
      </c>
      <c r="I240" s="596" t="s">
        <v>58</v>
      </c>
      <c r="J240" s="596" t="s">
        <v>59</v>
      </c>
      <c r="K240" s="596" t="s">
        <v>102</v>
      </c>
      <c r="L240" s="596" t="s">
        <v>418</v>
      </c>
      <c r="M240" s="596" t="s">
        <v>419</v>
      </c>
      <c r="N240" s="596" t="s">
        <v>59</v>
      </c>
      <c r="Q240" s="595"/>
      <c r="R240" s="484"/>
      <c r="S240" s="595"/>
      <c r="T240" s="595"/>
      <c r="U240" s="595"/>
    </row>
    <row r="241" spans="2:21" s="485" customFormat="1" ht="14.1" customHeight="1">
      <c r="B241" s="951"/>
      <c r="C241" s="598" t="s">
        <v>227</v>
      </c>
      <c r="D241" s="979"/>
      <c r="E241" s="980"/>
      <c r="F241" s="599"/>
      <c r="G241" s="982"/>
      <c r="H241" s="987"/>
      <c r="I241" s="598" t="s">
        <v>60</v>
      </c>
      <c r="J241" s="598" t="s">
        <v>61</v>
      </c>
      <c r="K241" s="598" t="s">
        <v>61</v>
      </c>
      <c r="L241" s="598" t="s">
        <v>421</v>
      </c>
      <c r="M241" s="598"/>
      <c r="N241" s="598" t="s">
        <v>423</v>
      </c>
      <c r="Q241" s="595"/>
      <c r="R241" s="484"/>
      <c r="S241" s="595"/>
      <c r="T241" s="595"/>
      <c r="U241" s="595"/>
    </row>
    <row r="242" spans="2:21" s="485" customFormat="1" ht="14.1" customHeight="1">
      <c r="B242" s="951"/>
      <c r="C242" s="600"/>
      <c r="D242" s="969"/>
      <c r="E242" s="970"/>
      <c r="F242" s="601"/>
      <c r="G242" s="973"/>
      <c r="H242" s="988"/>
      <c r="I242" s="600" t="s">
        <v>61</v>
      </c>
      <c r="J242" s="602"/>
      <c r="K242" s="602"/>
      <c r="L242" s="602"/>
      <c r="M242" s="602"/>
      <c r="N242" s="600" t="s">
        <v>61</v>
      </c>
      <c r="Q242" s="595"/>
      <c r="R242" s="484"/>
      <c r="S242" s="595"/>
      <c r="T242" s="595"/>
      <c r="U242" s="595"/>
    </row>
    <row r="243" spans="2:21" s="485" customFormat="1" ht="14.1" customHeight="1">
      <c r="B243" s="951"/>
      <c r="C243" s="598" t="s">
        <v>213</v>
      </c>
      <c r="D243" s="603" t="s">
        <v>62</v>
      </c>
      <c r="E243" s="615" t="s">
        <v>96</v>
      </c>
      <c r="F243" s="615"/>
      <c r="G243" s="605" t="s">
        <v>91</v>
      </c>
      <c r="H243" s="616">
        <v>70</v>
      </c>
      <c r="I243" s="617">
        <f>'UPH-TNG'!$I$41</f>
        <v>800</v>
      </c>
      <c r="J243" s="491">
        <f>ROUND(H243*I243,2)</f>
        <v>56000</v>
      </c>
      <c r="K243" s="492"/>
      <c r="L243" s="501">
        <v>1</v>
      </c>
      <c r="M243" s="494"/>
      <c r="N243" s="491">
        <f t="shared" ref="N243:N253" si="17">L243*J243</f>
        <v>56000</v>
      </c>
      <c r="Q243" s="595"/>
      <c r="R243" s="484"/>
      <c r="S243" s="595"/>
      <c r="T243" s="595"/>
      <c r="U243" s="595"/>
    </row>
    <row r="244" spans="2:21" s="485" customFormat="1" ht="14.1" customHeight="1">
      <c r="B244" s="951"/>
      <c r="C244" s="598"/>
      <c r="D244" s="607"/>
      <c r="E244" s="615" t="s">
        <v>75</v>
      </c>
      <c r="F244" s="615"/>
      <c r="G244" s="605" t="s">
        <v>73</v>
      </c>
      <c r="H244" s="616">
        <v>6.5</v>
      </c>
      <c r="I244" s="617">
        <f>'UPH-TNG'!$I$104</f>
        <v>1425</v>
      </c>
      <c r="J244" s="491">
        <f>ROUND(H244*I244,2)</f>
        <v>9262.5</v>
      </c>
      <c r="K244" s="496"/>
      <c r="L244" s="501">
        <f>$L$163</f>
        <v>0.90890000000000004</v>
      </c>
      <c r="M244" s="494" t="s">
        <v>429</v>
      </c>
      <c r="N244" s="491">
        <f t="shared" si="17"/>
        <v>8418.6862500000007</v>
      </c>
      <c r="Q244" s="595"/>
      <c r="R244" s="484"/>
      <c r="S244" s="595"/>
      <c r="T244" s="595"/>
      <c r="U244" s="595"/>
    </row>
    <row r="245" spans="2:21" s="485" customFormat="1" ht="14.1" customHeight="1">
      <c r="B245" s="951"/>
      <c r="C245" s="598"/>
      <c r="D245" s="607"/>
      <c r="E245" s="615" t="s">
        <v>97</v>
      </c>
      <c r="F245" s="615"/>
      <c r="G245" s="605" t="s">
        <v>68</v>
      </c>
      <c r="H245" s="616">
        <v>0.05</v>
      </c>
      <c r="I245" s="617">
        <f>'UPH-TNG'!$I$107</f>
        <v>280000</v>
      </c>
      <c r="J245" s="491">
        <f>ROUND(H245*I245,2)</f>
        <v>14000</v>
      </c>
      <c r="K245" s="496"/>
      <c r="L245" s="501">
        <v>1</v>
      </c>
      <c r="M245" s="494"/>
      <c r="N245" s="491">
        <f t="shared" si="17"/>
        <v>14000</v>
      </c>
      <c r="Q245" s="595"/>
      <c r="R245" s="484"/>
      <c r="S245" s="595"/>
      <c r="T245" s="595"/>
      <c r="U245" s="595"/>
    </row>
    <row r="246" spans="2:21" s="485" customFormat="1" ht="14.1" customHeight="1">
      <c r="B246" s="951"/>
      <c r="C246" s="600"/>
      <c r="D246" s="607"/>
      <c r="E246" s="612"/>
      <c r="F246" s="613"/>
      <c r="G246" s="610"/>
      <c r="H246" s="614"/>
      <c r="I246" s="618"/>
      <c r="J246" s="495"/>
      <c r="K246" s="491">
        <f>SUM(J243:J245)</f>
        <v>79262.5</v>
      </c>
      <c r="L246" s="501"/>
      <c r="M246" s="494"/>
      <c r="N246" s="491">
        <f t="shared" si="17"/>
        <v>0</v>
      </c>
      <c r="Q246" s="595"/>
      <c r="R246" s="484"/>
      <c r="S246" s="595"/>
      <c r="T246" s="595"/>
      <c r="U246" s="595"/>
    </row>
    <row r="247" spans="2:21" s="485" customFormat="1" ht="14.1" customHeight="1">
      <c r="B247" s="951"/>
      <c r="C247" s="598" t="s">
        <v>214</v>
      </c>
      <c r="D247" s="603" t="s">
        <v>63</v>
      </c>
      <c r="E247" s="615" t="s">
        <v>69</v>
      </c>
      <c r="F247" s="615"/>
      <c r="G247" s="605" t="s">
        <v>66</v>
      </c>
      <c r="H247" s="616">
        <v>0.3</v>
      </c>
      <c r="I247" s="617">
        <f>'UPH-TNG'!$I$15</f>
        <v>92000</v>
      </c>
      <c r="J247" s="491">
        <f>ROUND(H247*I247,2)</f>
        <v>27600</v>
      </c>
      <c r="K247" s="492"/>
      <c r="L247" s="493">
        <v>1</v>
      </c>
      <c r="M247" s="493" t="s">
        <v>422</v>
      </c>
      <c r="N247" s="491">
        <f t="shared" si="17"/>
        <v>27600</v>
      </c>
      <c r="Q247" s="595"/>
      <c r="R247" s="484"/>
      <c r="S247" s="595"/>
      <c r="T247" s="595"/>
      <c r="U247" s="595"/>
    </row>
    <row r="248" spans="2:21" s="485" customFormat="1" ht="14.1" customHeight="1">
      <c r="B248" s="951"/>
      <c r="C248" s="598"/>
      <c r="D248" s="607"/>
      <c r="E248" s="615" t="s">
        <v>70</v>
      </c>
      <c r="F248" s="615"/>
      <c r="G248" s="605" t="s">
        <v>66</v>
      </c>
      <c r="H248" s="616">
        <v>0.1</v>
      </c>
      <c r="I248" s="617">
        <f>'UPH-TNG'!$I$21</f>
        <v>95000</v>
      </c>
      <c r="J248" s="491">
        <f>ROUND(H248*I248,2)</f>
        <v>9500</v>
      </c>
      <c r="K248" s="496"/>
      <c r="L248" s="493">
        <v>1</v>
      </c>
      <c r="M248" s="493" t="s">
        <v>422</v>
      </c>
      <c r="N248" s="491">
        <f t="shared" si="17"/>
        <v>9500</v>
      </c>
      <c r="Q248" s="595"/>
      <c r="R248" s="484"/>
      <c r="S248" s="595"/>
      <c r="T248" s="595"/>
      <c r="U248" s="595"/>
    </row>
    <row r="249" spans="2:21" s="485" customFormat="1" ht="14.1" customHeight="1">
      <c r="B249" s="951"/>
      <c r="C249" s="598"/>
      <c r="D249" s="607"/>
      <c r="E249" s="615" t="s">
        <v>71</v>
      </c>
      <c r="F249" s="615"/>
      <c r="G249" s="605" t="s">
        <v>66</v>
      </c>
      <c r="H249" s="616">
        <v>0.01</v>
      </c>
      <c r="I249" s="617">
        <f>'UPH-TNG'!$I$16</f>
        <v>104000</v>
      </c>
      <c r="J249" s="491">
        <f>ROUND(H249*I249,2)</f>
        <v>1040</v>
      </c>
      <c r="K249" s="496"/>
      <c r="L249" s="493">
        <v>1</v>
      </c>
      <c r="M249" s="493" t="s">
        <v>422</v>
      </c>
      <c r="N249" s="491">
        <f t="shared" si="17"/>
        <v>1040</v>
      </c>
      <c r="Q249" s="595"/>
      <c r="R249" s="484"/>
      <c r="S249" s="595"/>
      <c r="T249" s="595"/>
      <c r="U249" s="595"/>
    </row>
    <row r="250" spans="2:21" s="485" customFormat="1" ht="14.1" customHeight="1">
      <c r="B250" s="951"/>
      <c r="C250" s="598"/>
      <c r="D250" s="607"/>
      <c r="E250" s="615" t="s">
        <v>65</v>
      </c>
      <c r="F250" s="615"/>
      <c r="G250" s="605" t="s">
        <v>66</v>
      </c>
      <c r="H250" s="616">
        <v>1.4999999999999999E-2</v>
      </c>
      <c r="I250" s="617">
        <f>'UPH-TNG'!$I$20</f>
        <v>98000</v>
      </c>
      <c r="J250" s="491">
        <f>ROUND(H250*I250,2)</f>
        <v>1470</v>
      </c>
      <c r="K250" s="607"/>
      <c r="L250" s="493">
        <v>1</v>
      </c>
      <c r="M250" s="493" t="s">
        <v>422</v>
      </c>
      <c r="N250" s="491">
        <f t="shared" si="17"/>
        <v>1470</v>
      </c>
      <c r="Q250" s="595"/>
      <c r="R250" s="484"/>
      <c r="S250" s="595"/>
      <c r="T250" s="595"/>
      <c r="U250" s="595"/>
    </row>
    <row r="251" spans="2:21" s="485" customFormat="1" ht="14.1" customHeight="1">
      <c r="B251" s="951"/>
      <c r="C251" s="600"/>
      <c r="D251" s="602"/>
      <c r="E251" s="612"/>
      <c r="F251" s="613"/>
      <c r="G251" s="610"/>
      <c r="H251" s="614"/>
      <c r="I251" s="618"/>
      <c r="J251" s="495"/>
      <c r="K251" s="494">
        <f>SUM(J247:J250)</f>
        <v>39610</v>
      </c>
      <c r="L251" s="501"/>
      <c r="M251" s="494"/>
      <c r="N251" s="491">
        <f t="shared" si="17"/>
        <v>0</v>
      </c>
      <c r="Q251" s="595"/>
      <c r="R251" s="484"/>
      <c r="S251" s="595"/>
      <c r="T251" s="595"/>
      <c r="U251" s="595"/>
    </row>
    <row r="252" spans="2:21" s="485" customFormat="1" ht="14.1" customHeight="1">
      <c r="B252" s="951"/>
      <c r="C252" s="598" t="s">
        <v>215</v>
      </c>
      <c r="D252" s="603" t="s">
        <v>212</v>
      </c>
      <c r="E252" s="615"/>
      <c r="F252" s="615"/>
      <c r="G252" s="605"/>
      <c r="H252" s="616"/>
      <c r="I252" s="617"/>
      <c r="J252" s="491"/>
      <c r="K252" s="492"/>
      <c r="L252" s="501"/>
      <c r="M252" s="494"/>
      <c r="N252" s="491">
        <f t="shared" si="17"/>
        <v>0</v>
      </c>
      <c r="Q252" s="595"/>
      <c r="R252" s="484"/>
      <c r="S252" s="595"/>
      <c r="T252" s="595"/>
      <c r="U252" s="595"/>
    </row>
    <row r="253" spans="2:21" s="485" customFormat="1" ht="14.1" customHeight="1">
      <c r="B253" s="951"/>
      <c r="C253" s="600"/>
      <c r="D253" s="602"/>
      <c r="E253" s="612"/>
      <c r="F253" s="613"/>
      <c r="G253" s="610"/>
      <c r="H253" s="614"/>
      <c r="I253" s="618"/>
      <c r="J253" s="495"/>
      <c r="K253" s="494">
        <f>SUM(J252:J252)</f>
        <v>0</v>
      </c>
      <c r="L253" s="501"/>
      <c r="M253" s="494"/>
      <c r="N253" s="491">
        <f t="shared" si="17"/>
        <v>0</v>
      </c>
      <c r="Q253" s="595"/>
      <c r="R253" s="484"/>
      <c r="S253" s="595"/>
      <c r="T253" s="595"/>
      <c r="U253" s="595"/>
    </row>
    <row r="254" spans="2:21" s="485" customFormat="1" ht="14.1" customHeight="1">
      <c r="B254" s="951"/>
      <c r="C254" s="600" t="s">
        <v>216</v>
      </c>
      <c r="D254" s="619" t="s">
        <v>219</v>
      </c>
      <c r="E254" s="613"/>
      <c r="F254" s="613"/>
      <c r="G254" s="610"/>
      <c r="H254" s="614"/>
      <c r="I254" s="618"/>
      <c r="J254" s="497" t="s">
        <v>220</v>
      </c>
      <c r="K254" s="494">
        <f>K246+K251+K253</f>
        <v>118872.5</v>
      </c>
      <c r="L254" s="649">
        <f>N254/K254</f>
        <v>0.99290152263980314</v>
      </c>
      <c r="M254" s="497"/>
      <c r="N254" s="498">
        <f>SUM(N242:N253)</f>
        <v>118028.68625</v>
      </c>
      <c r="Q254" s="595"/>
      <c r="R254" s="484"/>
      <c r="S254" s="595"/>
      <c r="T254" s="595"/>
      <c r="U254" s="595"/>
    </row>
    <row r="255" spans="2:21" s="485" customFormat="1" ht="14.1" customHeight="1">
      <c r="B255" s="951"/>
      <c r="C255" s="600" t="s">
        <v>217</v>
      </c>
      <c r="D255" s="619" t="s">
        <v>221</v>
      </c>
      <c r="E255" s="613"/>
      <c r="F255" s="499">
        <f>$F$48</f>
        <v>0.1</v>
      </c>
      <c r="G255" s="605" t="s">
        <v>168</v>
      </c>
      <c r="H255" s="499">
        <f>$H$48</f>
        <v>0.02</v>
      </c>
      <c r="I255" s="621" t="s">
        <v>167</v>
      </c>
      <c r="J255" s="494" t="s">
        <v>216</v>
      </c>
      <c r="K255" s="500">
        <f>ROUND((K254*(F255+H255)),2)</f>
        <v>14264.7</v>
      </c>
      <c r="L255" s="494"/>
      <c r="M255" s="494"/>
      <c r="N255" s="494"/>
      <c r="Q255" s="595"/>
      <c r="R255" s="484"/>
      <c r="S255" s="595"/>
      <c r="T255" s="595"/>
      <c r="U255" s="595"/>
    </row>
    <row r="256" spans="2:21" s="485" customFormat="1" ht="14.1" customHeight="1">
      <c r="B256" s="951"/>
      <c r="C256" s="622" t="s">
        <v>222</v>
      </c>
      <c r="D256" s="623" t="s">
        <v>76</v>
      </c>
      <c r="E256" s="624"/>
      <c r="F256" s="624"/>
      <c r="G256" s="624"/>
      <c r="H256" s="625"/>
      <c r="I256" s="624"/>
      <c r="J256" s="626" t="s">
        <v>226</v>
      </c>
      <c r="K256" s="627">
        <f>SUM(K254:K255)</f>
        <v>133137.20000000001</v>
      </c>
      <c r="L256" s="620"/>
      <c r="M256" s="626"/>
      <c r="N256" s="635"/>
      <c r="Q256" s="595"/>
      <c r="R256" s="484"/>
      <c r="S256" s="595"/>
      <c r="T256" s="595"/>
      <c r="U256" s="595"/>
    </row>
    <row r="257" spans="2:21" s="298" customFormat="1" ht="15">
      <c r="B257" s="951"/>
      <c r="C257" s="490"/>
      <c r="D257" s="628"/>
      <c r="E257" s="628"/>
      <c r="F257" s="628"/>
      <c r="G257" s="628"/>
      <c r="H257" s="487"/>
      <c r="I257" s="628"/>
      <c r="J257" s="629"/>
      <c r="K257" s="630"/>
      <c r="L257" s="630"/>
      <c r="M257" s="630"/>
      <c r="N257" s="630"/>
      <c r="O257" s="302"/>
      <c r="Q257" s="595"/>
      <c r="R257" s="484"/>
      <c r="S257" s="595"/>
      <c r="T257" s="595"/>
      <c r="U257" s="595"/>
    </row>
    <row r="258" spans="2:21" s="485" customFormat="1" ht="14.1" hidden="1" customHeight="1">
      <c r="B258" s="951">
        <f>B238+1</f>
        <v>15</v>
      </c>
      <c r="C258" s="488"/>
      <c r="D258" s="485" t="s">
        <v>561</v>
      </c>
      <c r="H258" s="488"/>
      <c r="K258" s="591" t="s">
        <v>443</v>
      </c>
      <c r="L258" s="591"/>
      <c r="M258" s="591"/>
      <c r="N258" s="591"/>
      <c r="O258" s="485" t="str">
        <f>D259</f>
        <v>m2</v>
      </c>
      <c r="P258" s="636">
        <f>K275</f>
        <v>69888.900000000009</v>
      </c>
      <c r="Q258" s="593">
        <f>L273</f>
        <v>0.983822949705773</v>
      </c>
      <c r="R258" s="484">
        <f>N273</f>
        <v>61391.339120000004</v>
      </c>
      <c r="S258" s="594"/>
      <c r="T258" s="484"/>
      <c r="U258" s="593"/>
    </row>
    <row r="259" spans="2:21" s="485" customFormat="1" ht="14.1" hidden="1" customHeight="1">
      <c r="B259" s="951"/>
      <c r="C259" s="488"/>
      <c r="D259" s="485" t="s">
        <v>100</v>
      </c>
      <c r="H259" s="488"/>
      <c r="Q259" s="595"/>
      <c r="R259" s="484"/>
      <c r="S259" s="595"/>
      <c r="T259" s="595"/>
      <c r="U259" s="595"/>
    </row>
    <row r="260" spans="2:21" s="485" customFormat="1" ht="14.1" hidden="1" customHeight="1">
      <c r="B260" s="951"/>
      <c r="C260" s="596"/>
      <c r="D260" s="977" t="s">
        <v>55</v>
      </c>
      <c r="E260" s="978"/>
      <c r="F260" s="597"/>
      <c r="G260" s="981" t="s">
        <v>56</v>
      </c>
      <c r="H260" s="981" t="s">
        <v>57</v>
      </c>
      <c r="I260" s="596" t="s">
        <v>58</v>
      </c>
      <c r="J260" s="596" t="s">
        <v>59</v>
      </c>
      <c r="K260" s="596" t="s">
        <v>102</v>
      </c>
      <c r="L260" s="596" t="s">
        <v>418</v>
      </c>
      <c r="M260" s="596" t="s">
        <v>419</v>
      </c>
      <c r="N260" s="596" t="s">
        <v>59</v>
      </c>
      <c r="Q260" s="595"/>
      <c r="R260" s="484"/>
      <c r="S260" s="595"/>
      <c r="T260" s="595"/>
      <c r="U260" s="595"/>
    </row>
    <row r="261" spans="2:21" s="485" customFormat="1" ht="14.1" hidden="1" customHeight="1">
      <c r="B261" s="951"/>
      <c r="C261" s="598" t="s">
        <v>227</v>
      </c>
      <c r="D261" s="979"/>
      <c r="E261" s="980"/>
      <c r="F261" s="599"/>
      <c r="G261" s="982"/>
      <c r="H261" s="982"/>
      <c r="I261" s="598" t="s">
        <v>60</v>
      </c>
      <c r="J261" s="598" t="s">
        <v>61</v>
      </c>
      <c r="K261" s="598" t="s">
        <v>61</v>
      </c>
      <c r="L261" s="598" t="s">
        <v>421</v>
      </c>
      <c r="M261" s="598"/>
      <c r="N261" s="598" t="s">
        <v>423</v>
      </c>
      <c r="Q261" s="595"/>
      <c r="R261" s="484"/>
      <c r="S261" s="595"/>
      <c r="T261" s="595"/>
      <c r="U261" s="595"/>
    </row>
    <row r="262" spans="2:21" s="485" customFormat="1" ht="14.1" hidden="1" customHeight="1">
      <c r="B262" s="951"/>
      <c r="C262" s="600"/>
      <c r="D262" s="969"/>
      <c r="E262" s="970"/>
      <c r="F262" s="601"/>
      <c r="G262" s="973"/>
      <c r="H262" s="973"/>
      <c r="I262" s="600" t="s">
        <v>61</v>
      </c>
      <c r="J262" s="602"/>
      <c r="K262" s="602"/>
      <c r="L262" s="602"/>
      <c r="M262" s="602"/>
      <c r="N262" s="600" t="s">
        <v>61</v>
      </c>
      <c r="Q262" s="595"/>
      <c r="R262" s="484"/>
      <c r="S262" s="595"/>
      <c r="T262" s="595"/>
      <c r="U262" s="595"/>
    </row>
    <row r="263" spans="2:21" s="485" customFormat="1" ht="14.1" hidden="1" customHeight="1">
      <c r="B263" s="951"/>
      <c r="C263" s="596" t="s">
        <v>213</v>
      </c>
      <c r="D263" s="607" t="s">
        <v>62</v>
      </c>
      <c r="E263" s="615" t="s">
        <v>75</v>
      </c>
      <c r="F263" s="615"/>
      <c r="G263" s="605" t="s">
        <v>73</v>
      </c>
      <c r="H263" s="616">
        <v>7.7759999999999998</v>
      </c>
      <c r="I263" s="617">
        <f>'UPH-TNG'!$I$104</f>
        <v>1425</v>
      </c>
      <c r="J263" s="491">
        <f>ROUND(H263*I263,2)</f>
        <v>11080.8</v>
      </c>
      <c r="K263" s="492"/>
      <c r="L263" s="501">
        <f>$L$163</f>
        <v>0.90890000000000004</v>
      </c>
      <c r="M263" s="494" t="s">
        <v>429</v>
      </c>
      <c r="N263" s="491">
        <f t="shared" ref="N263:N272" si="18">L263*J263</f>
        <v>10071.339120000001</v>
      </c>
      <c r="Q263" s="595"/>
      <c r="R263" s="484"/>
      <c r="S263" s="595"/>
      <c r="T263" s="595"/>
      <c r="U263" s="595"/>
    </row>
    <row r="264" spans="2:21" s="485" customFormat="1" ht="14.1" hidden="1" customHeight="1">
      <c r="B264" s="951"/>
      <c r="C264" s="598"/>
      <c r="D264" s="607"/>
      <c r="E264" s="615" t="s">
        <v>97</v>
      </c>
      <c r="F264" s="615"/>
      <c r="G264" s="605" t="s">
        <v>68</v>
      </c>
      <c r="H264" s="616">
        <v>2.3E-2</v>
      </c>
      <c r="I264" s="617">
        <f>'UPH-TNG'!$I$107</f>
        <v>280000</v>
      </c>
      <c r="J264" s="491">
        <f>ROUND(H264*I264,2)</f>
        <v>6440</v>
      </c>
      <c r="K264" s="496"/>
      <c r="L264" s="502">
        <v>1</v>
      </c>
      <c r="M264" s="494"/>
      <c r="N264" s="491">
        <f t="shared" si="18"/>
        <v>6440</v>
      </c>
      <c r="Q264" s="595"/>
      <c r="R264" s="484"/>
      <c r="S264" s="595"/>
      <c r="T264" s="595"/>
      <c r="U264" s="595"/>
    </row>
    <row r="265" spans="2:21" s="485" customFormat="1" ht="14.1" hidden="1" customHeight="1">
      <c r="B265" s="951"/>
      <c r="C265" s="600"/>
      <c r="D265" s="607"/>
      <c r="E265" s="612"/>
      <c r="F265" s="613"/>
      <c r="G265" s="610"/>
      <c r="H265" s="614"/>
      <c r="I265" s="618"/>
      <c r="J265" s="495"/>
      <c r="K265" s="491">
        <f>SUM(J263:J264)</f>
        <v>17520.8</v>
      </c>
      <c r="L265" s="502"/>
      <c r="M265" s="494"/>
      <c r="N265" s="491">
        <f t="shared" si="18"/>
        <v>0</v>
      </c>
      <c r="Q265" s="595"/>
      <c r="R265" s="484"/>
      <c r="S265" s="595"/>
      <c r="T265" s="595"/>
      <c r="U265" s="595"/>
    </row>
    <row r="266" spans="2:21" s="485" customFormat="1" ht="14.1" hidden="1" customHeight="1">
      <c r="B266" s="951"/>
      <c r="C266" s="598" t="s">
        <v>214</v>
      </c>
      <c r="D266" s="603" t="s">
        <v>63</v>
      </c>
      <c r="E266" s="615" t="s">
        <v>69</v>
      </c>
      <c r="F266" s="615"/>
      <c r="G266" s="605" t="s">
        <v>66</v>
      </c>
      <c r="H266" s="616">
        <v>0.3</v>
      </c>
      <c r="I266" s="617">
        <f>'UPH-TNG'!$I$15</f>
        <v>92000</v>
      </c>
      <c r="J266" s="491">
        <f>ROUND(H266*I266,2)</f>
        <v>27600</v>
      </c>
      <c r="K266" s="492"/>
      <c r="L266" s="493">
        <v>1</v>
      </c>
      <c r="M266" s="493" t="s">
        <v>422</v>
      </c>
      <c r="N266" s="491">
        <f t="shared" si="18"/>
        <v>27600</v>
      </c>
      <c r="Q266" s="595"/>
      <c r="R266" s="484"/>
      <c r="S266" s="595"/>
      <c r="T266" s="595"/>
      <c r="U266" s="595"/>
    </row>
    <row r="267" spans="2:21" s="485" customFormat="1" ht="14.1" hidden="1" customHeight="1">
      <c r="B267" s="951"/>
      <c r="C267" s="607"/>
      <c r="D267" s="607"/>
      <c r="E267" s="615" t="s">
        <v>70</v>
      </c>
      <c r="F267" s="615"/>
      <c r="G267" s="605" t="s">
        <v>66</v>
      </c>
      <c r="H267" s="616">
        <v>0.15</v>
      </c>
      <c r="I267" s="617">
        <f>'UPH-TNG'!$I$21</f>
        <v>95000</v>
      </c>
      <c r="J267" s="491">
        <f>ROUND(H267*I267,2)</f>
        <v>14250</v>
      </c>
      <c r="K267" s="496"/>
      <c r="L267" s="493">
        <v>1</v>
      </c>
      <c r="M267" s="493" t="s">
        <v>422</v>
      </c>
      <c r="N267" s="491">
        <f t="shared" si="18"/>
        <v>14250</v>
      </c>
      <c r="Q267" s="595"/>
      <c r="R267" s="484"/>
      <c r="S267" s="595"/>
      <c r="T267" s="595"/>
      <c r="U267" s="595"/>
    </row>
    <row r="268" spans="2:21" s="485" customFormat="1" ht="14.1" hidden="1" customHeight="1">
      <c r="B268" s="951"/>
      <c r="C268" s="607"/>
      <c r="D268" s="607"/>
      <c r="E268" s="615" t="s">
        <v>71</v>
      </c>
      <c r="F268" s="615"/>
      <c r="G268" s="605" t="s">
        <v>66</v>
      </c>
      <c r="H268" s="616">
        <v>1.4999999999999999E-2</v>
      </c>
      <c r="I268" s="617">
        <f>'UPH-TNG'!$I$16</f>
        <v>104000</v>
      </c>
      <c r="J268" s="491">
        <f>ROUND(H268*I268,2)</f>
        <v>1560</v>
      </c>
      <c r="K268" s="496"/>
      <c r="L268" s="493">
        <v>1</v>
      </c>
      <c r="M268" s="493" t="s">
        <v>422</v>
      </c>
      <c r="N268" s="491">
        <f t="shared" si="18"/>
        <v>1560</v>
      </c>
      <c r="Q268" s="595"/>
      <c r="R268" s="484"/>
      <c r="S268" s="595"/>
      <c r="T268" s="595"/>
      <c r="U268" s="595"/>
    </row>
    <row r="269" spans="2:21" s="485" customFormat="1" ht="14.1" hidden="1" customHeight="1">
      <c r="B269" s="951"/>
      <c r="C269" s="598"/>
      <c r="D269" s="607"/>
      <c r="E269" s="615" t="s">
        <v>65</v>
      </c>
      <c r="F269" s="615"/>
      <c r="G269" s="605" t="s">
        <v>66</v>
      </c>
      <c r="H269" s="616">
        <v>1.4999999999999999E-2</v>
      </c>
      <c r="I269" s="617">
        <f>'UPH-TNG'!$I$20</f>
        <v>98000</v>
      </c>
      <c r="J269" s="491">
        <f>ROUND(H269*I269,2)</f>
        <v>1470</v>
      </c>
      <c r="K269" s="607"/>
      <c r="L269" s="493">
        <v>1</v>
      </c>
      <c r="M269" s="493" t="s">
        <v>422</v>
      </c>
      <c r="N269" s="491">
        <f t="shared" si="18"/>
        <v>1470</v>
      </c>
      <c r="Q269" s="595"/>
      <c r="R269" s="484"/>
      <c r="S269" s="595"/>
      <c r="T269" s="595"/>
      <c r="U269" s="595"/>
    </row>
    <row r="270" spans="2:21" s="485" customFormat="1" ht="14.1" hidden="1" customHeight="1">
      <c r="B270" s="951"/>
      <c r="C270" s="602"/>
      <c r="D270" s="602"/>
      <c r="E270" s="612"/>
      <c r="F270" s="613"/>
      <c r="G270" s="610"/>
      <c r="H270" s="614"/>
      <c r="I270" s="618"/>
      <c r="J270" s="495"/>
      <c r="K270" s="494">
        <f>SUM(J266:J269)</f>
        <v>44880</v>
      </c>
      <c r="L270" s="502"/>
      <c r="M270" s="494"/>
      <c r="N270" s="491">
        <f t="shared" si="18"/>
        <v>0</v>
      </c>
      <c r="Q270" s="595"/>
      <c r="R270" s="484"/>
      <c r="S270" s="595"/>
      <c r="T270" s="595"/>
      <c r="U270" s="595"/>
    </row>
    <row r="271" spans="2:21" s="485" customFormat="1" ht="14.1" hidden="1" customHeight="1">
      <c r="B271" s="951"/>
      <c r="C271" s="598" t="s">
        <v>215</v>
      </c>
      <c r="D271" s="603" t="s">
        <v>212</v>
      </c>
      <c r="E271" s="615"/>
      <c r="F271" s="615"/>
      <c r="G271" s="605"/>
      <c r="H271" s="616"/>
      <c r="I271" s="617"/>
      <c r="J271" s="491"/>
      <c r="K271" s="492"/>
      <c r="L271" s="502"/>
      <c r="M271" s="494"/>
      <c r="N271" s="491">
        <f t="shared" si="18"/>
        <v>0</v>
      </c>
      <c r="Q271" s="595"/>
      <c r="R271" s="484"/>
      <c r="S271" s="595"/>
      <c r="T271" s="595"/>
      <c r="U271" s="595"/>
    </row>
    <row r="272" spans="2:21" s="485" customFormat="1" ht="14.1" hidden="1" customHeight="1">
      <c r="B272" s="951"/>
      <c r="C272" s="602"/>
      <c r="D272" s="602"/>
      <c r="E272" s="612"/>
      <c r="F272" s="613"/>
      <c r="G272" s="610"/>
      <c r="H272" s="614"/>
      <c r="I272" s="618"/>
      <c r="J272" s="495"/>
      <c r="K272" s="494">
        <f>SUM(J271:J271)</f>
        <v>0</v>
      </c>
      <c r="L272" s="502"/>
      <c r="M272" s="494"/>
      <c r="N272" s="491">
        <f t="shared" si="18"/>
        <v>0</v>
      </c>
      <c r="Q272" s="595"/>
      <c r="R272" s="484"/>
      <c r="S272" s="595"/>
      <c r="T272" s="595"/>
      <c r="U272" s="595"/>
    </row>
    <row r="273" spans="2:21" s="485" customFormat="1" ht="14.1" hidden="1" customHeight="1">
      <c r="B273" s="951"/>
      <c r="C273" s="600" t="s">
        <v>216</v>
      </c>
      <c r="D273" s="619" t="s">
        <v>219</v>
      </c>
      <c r="E273" s="613"/>
      <c r="F273" s="613"/>
      <c r="G273" s="610"/>
      <c r="H273" s="614"/>
      <c r="I273" s="618"/>
      <c r="J273" s="497" t="s">
        <v>220</v>
      </c>
      <c r="K273" s="494">
        <f>K265+K270+K272</f>
        <v>62400.800000000003</v>
      </c>
      <c r="L273" s="503">
        <f>N273/K273</f>
        <v>0.983822949705773</v>
      </c>
      <c r="M273" s="497"/>
      <c r="N273" s="498">
        <f>SUM(N261:N272)</f>
        <v>61391.339120000004</v>
      </c>
      <c r="Q273" s="595"/>
      <c r="R273" s="484"/>
      <c r="S273" s="595"/>
      <c r="T273" s="595"/>
      <c r="U273" s="595"/>
    </row>
    <row r="274" spans="2:21" s="485" customFormat="1" ht="14.1" hidden="1" customHeight="1">
      <c r="B274" s="951"/>
      <c r="C274" s="600" t="s">
        <v>217</v>
      </c>
      <c r="D274" s="619" t="s">
        <v>221</v>
      </c>
      <c r="E274" s="613"/>
      <c r="F274" s="499">
        <f>$F$48</f>
        <v>0.1</v>
      </c>
      <c r="G274" s="605" t="s">
        <v>168</v>
      </c>
      <c r="H274" s="499">
        <f>$H$48</f>
        <v>0.02</v>
      </c>
      <c r="I274" s="621" t="s">
        <v>167</v>
      </c>
      <c r="J274" s="494" t="s">
        <v>216</v>
      </c>
      <c r="K274" s="500">
        <f>ROUND((K273*(F274+H274)),2)</f>
        <v>7488.1</v>
      </c>
      <c r="L274" s="494"/>
      <c r="M274" s="494"/>
      <c r="N274" s="494"/>
      <c r="Q274" s="595"/>
      <c r="R274" s="484"/>
      <c r="S274" s="595"/>
      <c r="T274" s="595"/>
      <c r="U274" s="595"/>
    </row>
    <row r="275" spans="2:21" s="485" customFormat="1" ht="14.1" hidden="1" customHeight="1">
      <c r="B275" s="951"/>
      <c r="C275" s="622" t="s">
        <v>222</v>
      </c>
      <c r="D275" s="623" t="s">
        <v>76</v>
      </c>
      <c r="E275" s="624"/>
      <c r="F275" s="624"/>
      <c r="G275" s="624"/>
      <c r="H275" s="625"/>
      <c r="I275" s="624"/>
      <c r="J275" s="626" t="s">
        <v>226</v>
      </c>
      <c r="K275" s="627">
        <f>SUM(K273:K274)</f>
        <v>69888.900000000009</v>
      </c>
      <c r="L275" s="620"/>
      <c r="M275" s="626"/>
      <c r="N275" s="635"/>
      <c r="Q275" s="595"/>
      <c r="R275" s="484"/>
      <c r="S275" s="595"/>
      <c r="T275" s="595"/>
      <c r="U275" s="595"/>
    </row>
    <row r="276" spans="2:21" s="485" customFormat="1" ht="14.1" hidden="1" customHeight="1">
      <c r="B276" s="948"/>
      <c r="H276" s="488"/>
      <c r="Q276" s="595"/>
      <c r="R276" s="484"/>
      <c r="S276" s="595"/>
      <c r="T276" s="595"/>
      <c r="U276" s="595"/>
    </row>
    <row r="277" spans="2:21" s="485" customFormat="1" ht="14.1" customHeight="1">
      <c r="B277" s="951">
        <f>B258+1</f>
        <v>16</v>
      </c>
      <c r="C277" s="488"/>
      <c r="D277" s="485" t="s">
        <v>444</v>
      </c>
      <c r="H277" s="488"/>
      <c r="K277" s="591" t="s">
        <v>445</v>
      </c>
      <c r="L277" s="591"/>
      <c r="M277" s="591"/>
      <c r="N277" s="591"/>
      <c r="O277" s="485" t="str">
        <f>D278</f>
        <v>m2</v>
      </c>
      <c r="P277" s="636">
        <f>K295</f>
        <v>64875.78</v>
      </c>
      <c r="Q277" s="593">
        <f>L293</f>
        <v>0.99225462530729502</v>
      </c>
      <c r="R277" s="484">
        <f>N293</f>
        <v>57476.150720000005</v>
      </c>
      <c r="S277" s="594"/>
      <c r="T277" s="484"/>
      <c r="U277" s="593"/>
    </row>
    <row r="278" spans="2:21" s="485" customFormat="1" ht="14.1" customHeight="1">
      <c r="B278" s="951"/>
      <c r="C278" s="488"/>
      <c r="D278" s="485" t="s">
        <v>100</v>
      </c>
      <c r="H278" s="488"/>
      <c r="Q278" s="595"/>
      <c r="R278" s="484"/>
      <c r="S278" s="595"/>
      <c r="T278" s="595"/>
      <c r="U278" s="595"/>
    </row>
    <row r="279" spans="2:21" s="485" customFormat="1" ht="14.1" customHeight="1">
      <c r="B279" s="951"/>
      <c r="C279" s="488"/>
      <c r="H279" s="488"/>
      <c r="Q279" s="595"/>
      <c r="R279" s="484"/>
      <c r="S279" s="595"/>
      <c r="T279" s="595"/>
      <c r="U279" s="595"/>
    </row>
    <row r="280" spans="2:21" s="485" customFormat="1" ht="14.1" customHeight="1">
      <c r="B280" s="951"/>
      <c r="C280" s="596"/>
      <c r="D280" s="977" t="s">
        <v>55</v>
      </c>
      <c r="E280" s="978"/>
      <c r="F280" s="597"/>
      <c r="G280" s="981" t="s">
        <v>56</v>
      </c>
      <c r="H280" s="981" t="s">
        <v>57</v>
      </c>
      <c r="I280" s="596" t="s">
        <v>58</v>
      </c>
      <c r="J280" s="596" t="s">
        <v>59</v>
      </c>
      <c r="K280" s="596" t="s">
        <v>102</v>
      </c>
      <c r="L280" s="596" t="s">
        <v>418</v>
      </c>
      <c r="M280" s="596" t="s">
        <v>419</v>
      </c>
      <c r="N280" s="596" t="s">
        <v>59</v>
      </c>
      <c r="Q280" s="595"/>
      <c r="R280" s="484"/>
      <c r="S280" s="595"/>
      <c r="T280" s="595"/>
      <c r="U280" s="595"/>
    </row>
    <row r="281" spans="2:21" s="485" customFormat="1" ht="14.1" customHeight="1">
      <c r="B281" s="951"/>
      <c r="C281" s="598" t="s">
        <v>227</v>
      </c>
      <c r="D281" s="979"/>
      <c r="E281" s="980"/>
      <c r="F281" s="599"/>
      <c r="G281" s="982"/>
      <c r="H281" s="982"/>
      <c r="I281" s="598" t="s">
        <v>60</v>
      </c>
      <c r="J281" s="598" t="s">
        <v>61</v>
      </c>
      <c r="K281" s="598" t="s">
        <v>61</v>
      </c>
      <c r="L281" s="598" t="s">
        <v>421</v>
      </c>
      <c r="M281" s="598"/>
      <c r="N281" s="598" t="s">
        <v>423</v>
      </c>
      <c r="Q281" s="595"/>
      <c r="R281" s="484"/>
      <c r="S281" s="595"/>
      <c r="T281" s="595"/>
      <c r="U281" s="595"/>
    </row>
    <row r="282" spans="2:21" s="485" customFormat="1" ht="14.1" customHeight="1">
      <c r="B282" s="951"/>
      <c r="C282" s="600"/>
      <c r="D282" s="969"/>
      <c r="E282" s="970"/>
      <c r="F282" s="601"/>
      <c r="G282" s="973"/>
      <c r="H282" s="973"/>
      <c r="I282" s="600" t="s">
        <v>61</v>
      </c>
      <c r="J282" s="602"/>
      <c r="K282" s="602"/>
      <c r="L282" s="602"/>
      <c r="M282" s="602"/>
      <c r="N282" s="600" t="s">
        <v>61</v>
      </c>
      <c r="Q282" s="595"/>
      <c r="R282" s="484"/>
      <c r="S282" s="595"/>
      <c r="T282" s="595"/>
      <c r="U282" s="595"/>
    </row>
    <row r="283" spans="2:21" s="485" customFormat="1" ht="14.1" customHeight="1">
      <c r="B283" s="951"/>
      <c r="C283" s="596" t="s">
        <v>213</v>
      </c>
      <c r="D283" s="607" t="s">
        <v>62</v>
      </c>
      <c r="E283" s="615" t="s">
        <v>75</v>
      </c>
      <c r="F283" s="615"/>
      <c r="G283" s="605" t="s">
        <v>73</v>
      </c>
      <c r="H283" s="616">
        <v>3.456</v>
      </c>
      <c r="I283" s="491">
        <f>'UPH-TNG'!$I$104</f>
        <v>1425</v>
      </c>
      <c r="J283" s="491">
        <f>ROUND(H283*I283,2)</f>
        <v>4924.8</v>
      </c>
      <c r="K283" s="492"/>
      <c r="L283" s="501">
        <f>$L$163</f>
        <v>0.90890000000000004</v>
      </c>
      <c r="M283" s="494" t="s">
        <v>429</v>
      </c>
      <c r="N283" s="491">
        <f t="shared" ref="N283:N292" si="19">L283*J283</f>
        <v>4476.1507200000005</v>
      </c>
      <c r="Q283" s="595"/>
      <c r="R283" s="484"/>
      <c r="S283" s="595"/>
      <c r="T283" s="595"/>
      <c r="U283" s="595"/>
    </row>
    <row r="284" spans="2:21" s="485" customFormat="1" ht="14.1" customHeight="1">
      <c r="B284" s="951"/>
      <c r="C284" s="598"/>
      <c r="D284" s="607"/>
      <c r="E284" s="615" t="s">
        <v>97</v>
      </c>
      <c r="F284" s="615"/>
      <c r="G284" s="605" t="s">
        <v>68</v>
      </c>
      <c r="H284" s="616">
        <v>2.9000000000000001E-2</v>
      </c>
      <c r="I284" s="491">
        <f>'UPH-TNG'!$I$107</f>
        <v>280000</v>
      </c>
      <c r="J284" s="491">
        <f>ROUND(H284*I284,2)</f>
        <v>8120</v>
      </c>
      <c r="K284" s="496"/>
      <c r="L284" s="501">
        <v>1</v>
      </c>
      <c r="M284" s="494"/>
      <c r="N284" s="491">
        <f t="shared" si="19"/>
        <v>8120</v>
      </c>
      <c r="Q284" s="595"/>
      <c r="R284" s="484"/>
      <c r="S284" s="595"/>
      <c r="T284" s="595"/>
      <c r="U284" s="595"/>
    </row>
    <row r="285" spans="2:21" s="485" customFormat="1" ht="14.1" customHeight="1">
      <c r="B285" s="951"/>
      <c r="C285" s="600"/>
      <c r="D285" s="607"/>
      <c r="E285" s="612"/>
      <c r="F285" s="613"/>
      <c r="G285" s="610"/>
      <c r="H285" s="614"/>
      <c r="I285" s="504"/>
      <c r="J285" s="495"/>
      <c r="K285" s="491">
        <f>SUM(J283:J284)</f>
        <v>13044.8</v>
      </c>
      <c r="L285" s="501"/>
      <c r="M285" s="494"/>
      <c r="N285" s="491">
        <f t="shared" si="19"/>
        <v>0</v>
      </c>
      <c r="Q285" s="595"/>
      <c r="R285" s="484"/>
      <c r="S285" s="595"/>
      <c r="T285" s="595"/>
      <c r="U285" s="595"/>
    </row>
    <row r="286" spans="2:21" s="485" customFormat="1" ht="14.1" customHeight="1">
      <c r="B286" s="951"/>
      <c r="C286" s="598" t="s">
        <v>214</v>
      </c>
      <c r="D286" s="603" t="s">
        <v>63</v>
      </c>
      <c r="E286" s="615" t="s">
        <v>69</v>
      </c>
      <c r="F286" s="615"/>
      <c r="G286" s="605" t="s">
        <v>66</v>
      </c>
      <c r="H286" s="616">
        <v>0.3</v>
      </c>
      <c r="I286" s="491">
        <f>'UPH-TNG'!$I$15</f>
        <v>92000</v>
      </c>
      <c r="J286" s="491">
        <f>ROUND(H286*I286,2)</f>
        <v>27600</v>
      </c>
      <c r="K286" s="492"/>
      <c r="L286" s="493">
        <v>1</v>
      </c>
      <c r="M286" s="493" t="s">
        <v>422</v>
      </c>
      <c r="N286" s="491">
        <f t="shared" si="19"/>
        <v>27600</v>
      </c>
      <c r="Q286" s="595"/>
      <c r="R286" s="484"/>
      <c r="S286" s="595"/>
      <c r="T286" s="595"/>
      <c r="U286" s="595"/>
    </row>
    <row r="287" spans="2:21" s="485" customFormat="1" ht="14.1" customHeight="1">
      <c r="B287" s="951"/>
      <c r="C287" s="607"/>
      <c r="D287" s="607"/>
      <c r="E287" s="615" t="s">
        <v>70</v>
      </c>
      <c r="F287" s="615"/>
      <c r="G287" s="605" t="s">
        <v>66</v>
      </c>
      <c r="H287" s="616">
        <v>0.15</v>
      </c>
      <c r="I287" s="491">
        <f>'UPH-TNG'!$I$21</f>
        <v>95000</v>
      </c>
      <c r="J287" s="491">
        <f>ROUND(H287*I287,2)</f>
        <v>14250</v>
      </c>
      <c r="K287" s="496"/>
      <c r="L287" s="493">
        <v>1</v>
      </c>
      <c r="M287" s="493" t="s">
        <v>422</v>
      </c>
      <c r="N287" s="491">
        <f t="shared" si="19"/>
        <v>14250</v>
      </c>
      <c r="Q287" s="595"/>
      <c r="R287" s="484"/>
      <c r="S287" s="595"/>
      <c r="T287" s="595"/>
      <c r="U287" s="595"/>
    </row>
    <row r="288" spans="2:21" s="485" customFormat="1" ht="14.1" customHeight="1">
      <c r="B288" s="951"/>
      <c r="C288" s="607"/>
      <c r="D288" s="607"/>
      <c r="E288" s="615" t="s">
        <v>71</v>
      </c>
      <c r="F288" s="615"/>
      <c r="G288" s="605" t="s">
        <v>66</v>
      </c>
      <c r="H288" s="616">
        <v>1.4999999999999999E-2</v>
      </c>
      <c r="I288" s="494">
        <f>'UPH-TNG'!$I$16</f>
        <v>104000</v>
      </c>
      <c r="J288" s="491">
        <f>ROUND(H288*I288,2)</f>
        <v>1560</v>
      </c>
      <c r="K288" s="496"/>
      <c r="L288" s="493">
        <v>1</v>
      </c>
      <c r="M288" s="493" t="s">
        <v>422</v>
      </c>
      <c r="N288" s="491">
        <f t="shared" si="19"/>
        <v>1560</v>
      </c>
      <c r="Q288" s="595"/>
      <c r="R288" s="484"/>
      <c r="S288" s="595"/>
      <c r="T288" s="595"/>
      <c r="U288" s="595"/>
    </row>
    <row r="289" spans="2:21" s="485" customFormat="1" ht="14.1" customHeight="1">
      <c r="B289" s="951"/>
      <c r="C289" s="598"/>
      <c r="D289" s="607"/>
      <c r="E289" s="615" t="s">
        <v>65</v>
      </c>
      <c r="F289" s="615"/>
      <c r="G289" s="605" t="s">
        <v>66</v>
      </c>
      <c r="H289" s="616">
        <v>1.4999999999999999E-2</v>
      </c>
      <c r="I289" s="491">
        <f>'UPH-TNG'!$I$20</f>
        <v>98000</v>
      </c>
      <c r="J289" s="491">
        <f>ROUND(H289*I289,2)</f>
        <v>1470</v>
      </c>
      <c r="K289" s="607"/>
      <c r="L289" s="493">
        <v>1</v>
      </c>
      <c r="M289" s="493" t="s">
        <v>422</v>
      </c>
      <c r="N289" s="491">
        <f t="shared" si="19"/>
        <v>1470</v>
      </c>
      <c r="Q289" s="595"/>
      <c r="R289" s="484"/>
      <c r="S289" s="595"/>
      <c r="T289" s="595"/>
      <c r="U289" s="595"/>
    </row>
    <row r="290" spans="2:21" s="485" customFormat="1" ht="14.1" customHeight="1">
      <c r="B290" s="951"/>
      <c r="C290" s="602"/>
      <c r="D290" s="602"/>
      <c r="E290" s="612"/>
      <c r="F290" s="613"/>
      <c r="G290" s="610"/>
      <c r="H290" s="614"/>
      <c r="I290" s="504"/>
      <c r="J290" s="495"/>
      <c r="K290" s="494">
        <f>SUM(J286:J289)</f>
        <v>44880</v>
      </c>
      <c r="L290" s="501"/>
      <c r="M290" s="494"/>
      <c r="N290" s="491">
        <f t="shared" si="19"/>
        <v>0</v>
      </c>
      <c r="Q290" s="595"/>
      <c r="R290" s="484"/>
      <c r="S290" s="595"/>
      <c r="T290" s="595"/>
      <c r="U290" s="595"/>
    </row>
    <row r="291" spans="2:21" s="485" customFormat="1" ht="14.1" customHeight="1">
      <c r="B291" s="951"/>
      <c r="C291" s="598" t="s">
        <v>215</v>
      </c>
      <c r="D291" s="603" t="s">
        <v>212</v>
      </c>
      <c r="E291" s="615"/>
      <c r="F291" s="615"/>
      <c r="G291" s="605"/>
      <c r="H291" s="616"/>
      <c r="I291" s="617"/>
      <c r="J291" s="491"/>
      <c r="K291" s="492"/>
      <c r="L291" s="501"/>
      <c r="M291" s="494"/>
      <c r="N291" s="491">
        <f t="shared" si="19"/>
        <v>0</v>
      </c>
      <c r="Q291" s="595"/>
      <c r="R291" s="484"/>
      <c r="S291" s="595"/>
      <c r="T291" s="595"/>
      <c r="U291" s="595"/>
    </row>
    <row r="292" spans="2:21" s="485" customFormat="1" ht="14.1" customHeight="1">
      <c r="B292" s="951"/>
      <c r="C292" s="602"/>
      <c r="D292" s="602"/>
      <c r="E292" s="612"/>
      <c r="F292" s="613"/>
      <c r="G292" s="610"/>
      <c r="H292" s="614"/>
      <c r="I292" s="618"/>
      <c r="J292" s="495"/>
      <c r="K292" s="494">
        <f>SUM(J291:J291)</f>
        <v>0</v>
      </c>
      <c r="L292" s="501"/>
      <c r="M292" s="494"/>
      <c r="N292" s="491">
        <f t="shared" si="19"/>
        <v>0</v>
      </c>
      <c r="Q292" s="595"/>
      <c r="R292" s="484"/>
      <c r="S292" s="595"/>
      <c r="T292" s="595"/>
      <c r="U292" s="595"/>
    </row>
    <row r="293" spans="2:21" s="485" customFormat="1" ht="14.1" customHeight="1">
      <c r="B293" s="951"/>
      <c r="C293" s="600" t="s">
        <v>216</v>
      </c>
      <c r="D293" s="619" t="s">
        <v>219</v>
      </c>
      <c r="E293" s="613"/>
      <c r="F293" s="613"/>
      <c r="G293" s="610"/>
      <c r="H293" s="614"/>
      <c r="I293" s="618"/>
      <c r="J293" s="497" t="s">
        <v>220</v>
      </c>
      <c r="K293" s="494">
        <f>K285+K290+K292</f>
        <v>57924.800000000003</v>
      </c>
      <c r="L293" s="649">
        <f>N293/K293</f>
        <v>0.99225462530729502</v>
      </c>
      <c r="M293" s="497"/>
      <c r="N293" s="498">
        <f>SUM(N281:N292)</f>
        <v>57476.150720000005</v>
      </c>
      <c r="Q293" s="595"/>
      <c r="R293" s="484"/>
      <c r="S293" s="595"/>
      <c r="T293" s="595"/>
      <c r="U293" s="595"/>
    </row>
    <row r="294" spans="2:21" s="485" customFormat="1" ht="14.1" customHeight="1">
      <c r="B294" s="951"/>
      <c r="C294" s="600" t="s">
        <v>217</v>
      </c>
      <c r="D294" s="619" t="s">
        <v>221</v>
      </c>
      <c r="E294" s="613"/>
      <c r="F294" s="499">
        <f>$F$48</f>
        <v>0.1</v>
      </c>
      <c r="G294" s="605" t="s">
        <v>168</v>
      </c>
      <c r="H294" s="499">
        <f>$H$48</f>
        <v>0.02</v>
      </c>
      <c r="I294" s="621" t="s">
        <v>167</v>
      </c>
      <c r="J294" s="494" t="s">
        <v>216</v>
      </c>
      <c r="K294" s="500">
        <f>ROUND((K293*(F294+H294)),2)</f>
        <v>6950.98</v>
      </c>
      <c r="L294" s="494"/>
      <c r="M294" s="494"/>
      <c r="N294" s="494"/>
      <c r="Q294" s="595"/>
      <c r="R294" s="484"/>
      <c r="S294" s="595"/>
      <c r="T294" s="595"/>
      <c r="U294" s="595"/>
    </row>
    <row r="295" spans="2:21" s="485" customFormat="1" ht="14.1" customHeight="1">
      <c r="B295" s="951"/>
      <c r="C295" s="622" t="s">
        <v>222</v>
      </c>
      <c r="D295" s="623" t="s">
        <v>76</v>
      </c>
      <c r="E295" s="624"/>
      <c r="F295" s="624"/>
      <c r="G295" s="624"/>
      <c r="H295" s="625"/>
      <c r="I295" s="624"/>
      <c r="J295" s="626" t="s">
        <v>226</v>
      </c>
      <c r="K295" s="627">
        <f>SUM(K293:K294)</f>
        <v>64875.78</v>
      </c>
      <c r="L295" s="620"/>
      <c r="M295" s="626"/>
      <c r="N295" s="635"/>
      <c r="Q295" s="595"/>
      <c r="R295" s="484"/>
      <c r="S295" s="595"/>
      <c r="T295" s="595"/>
      <c r="U295" s="595"/>
    </row>
    <row r="296" spans="2:21" s="485" customFormat="1" ht="14.1" customHeight="1">
      <c r="B296" s="948"/>
      <c r="H296" s="488"/>
      <c r="Q296" s="595"/>
      <c r="R296" s="484"/>
      <c r="S296" s="595"/>
      <c r="T296" s="595"/>
      <c r="U296" s="595"/>
    </row>
    <row r="297" spans="2:21" s="505" customFormat="1" ht="14.1" customHeight="1">
      <c r="B297" s="951">
        <f>B277+1</f>
        <v>17</v>
      </c>
      <c r="C297" s="488"/>
      <c r="D297" s="485" t="s">
        <v>509</v>
      </c>
      <c r="E297" s="485"/>
      <c r="F297" s="485"/>
      <c r="G297" s="485"/>
      <c r="H297" s="488"/>
      <c r="I297" s="485"/>
      <c r="J297" s="485"/>
      <c r="K297" s="591" t="s">
        <v>245</v>
      </c>
      <c r="L297" s="591"/>
      <c r="M297" s="591"/>
      <c r="N297" s="591"/>
      <c r="O297" s="631" t="str">
        <f>D298</f>
        <v>m2</v>
      </c>
      <c r="P297" s="595">
        <f>K313</f>
        <v>38697.4</v>
      </c>
      <c r="Q297" s="593">
        <f>L311</f>
        <v>0.98778895481350171</v>
      </c>
      <c r="R297" s="484">
        <f>N311</f>
        <v>34129.343124999999</v>
      </c>
      <c r="S297" s="594"/>
      <c r="T297" s="484"/>
      <c r="U297" s="593"/>
    </row>
    <row r="298" spans="2:21" s="505" customFormat="1" ht="14.1" customHeight="1">
      <c r="B298" s="951"/>
      <c r="C298" s="488"/>
      <c r="D298" s="485" t="s">
        <v>100</v>
      </c>
      <c r="E298" s="485"/>
      <c r="F298" s="485"/>
      <c r="G298" s="485"/>
      <c r="H298" s="488"/>
      <c r="I298" s="485"/>
      <c r="J298" s="485"/>
      <c r="K298" s="485"/>
      <c r="L298" s="485"/>
      <c r="M298" s="485"/>
      <c r="N298" s="485"/>
      <c r="O298" s="631"/>
      <c r="Q298" s="595"/>
      <c r="R298" s="484"/>
      <c r="S298" s="595"/>
      <c r="T298" s="595"/>
      <c r="U298" s="595"/>
    </row>
    <row r="299" spans="2:21" s="505" customFormat="1" ht="14.1" customHeight="1">
      <c r="B299" s="951"/>
      <c r="C299" s="596"/>
      <c r="D299" s="977" t="s">
        <v>55</v>
      </c>
      <c r="E299" s="978"/>
      <c r="F299" s="597"/>
      <c r="G299" s="981" t="s">
        <v>56</v>
      </c>
      <c r="H299" s="981" t="s">
        <v>57</v>
      </c>
      <c r="I299" s="596" t="s">
        <v>58</v>
      </c>
      <c r="J299" s="596" t="s">
        <v>59</v>
      </c>
      <c r="K299" s="596" t="s">
        <v>102</v>
      </c>
      <c r="L299" s="596" t="s">
        <v>418</v>
      </c>
      <c r="M299" s="596" t="s">
        <v>419</v>
      </c>
      <c r="N299" s="596" t="s">
        <v>59</v>
      </c>
      <c r="O299" s="631"/>
      <c r="Q299" s="595"/>
      <c r="R299" s="484"/>
      <c r="S299" s="595"/>
      <c r="T299" s="595"/>
      <c r="U299" s="595"/>
    </row>
    <row r="300" spans="2:21" s="505" customFormat="1" ht="14.1" customHeight="1">
      <c r="B300" s="951"/>
      <c r="C300" s="598" t="s">
        <v>227</v>
      </c>
      <c r="D300" s="979"/>
      <c r="E300" s="980"/>
      <c r="F300" s="599"/>
      <c r="G300" s="982"/>
      <c r="H300" s="982"/>
      <c r="I300" s="598" t="s">
        <v>60</v>
      </c>
      <c r="J300" s="598" t="s">
        <v>61</v>
      </c>
      <c r="K300" s="598" t="s">
        <v>61</v>
      </c>
      <c r="L300" s="598" t="s">
        <v>421</v>
      </c>
      <c r="M300" s="598"/>
      <c r="N300" s="598" t="s">
        <v>423</v>
      </c>
      <c r="O300" s="631"/>
      <c r="Q300" s="595"/>
      <c r="R300" s="484"/>
      <c r="S300" s="595"/>
      <c r="T300" s="595"/>
      <c r="U300" s="595"/>
    </row>
    <row r="301" spans="2:21" s="505" customFormat="1" ht="14.1" customHeight="1">
      <c r="B301" s="951"/>
      <c r="C301" s="600"/>
      <c r="D301" s="969"/>
      <c r="E301" s="970"/>
      <c r="F301" s="601"/>
      <c r="G301" s="973"/>
      <c r="H301" s="973"/>
      <c r="I301" s="600" t="s">
        <v>61</v>
      </c>
      <c r="J301" s="602"/>
      <c r="K301" s="602"/>
      <c r="L301" s="602"/>
      <c r="M301" s="602"/>
      <c r="N301" s="600" t="s">
        <v>61</v>
      </c>
      <c r="O301" s="631"/>
      <c r="Q301" s="595"/>
      <c r="R301" s="484"/>
      <c r="S301" s="595"/>
      <c r="T301" s="595"/>
      <c r="U301" s="595"/>
    </row>
    <row r="302" spans="2:21" s="505" customFormat="1" ht="14.1" customHeight="1">
      <c r="B302" s="951"/>
      <c r="C302" s="596" t="s">
        <v>213</v>
      </c>
      <c r="D302" s="607" t="s">
        <v>62</v>
      </c>
      <c r="E302" s="637" t="s">
        <v>75</v>
      </c>
      <c r="F302" s="646"/>
      <c r="G302" s="600" t="s">
        <v>73</v>
      </c>
      <c r="H302" s="639">
        <v>3.25</v>
      </c>
      <c r="I302" s="640">
        <f>'UPH-TNG'!$I$104</f>
        <v>1425</v>
      </c>
      <c r="J302" s="491">
        <f>ROUND(H302*I302,2)</f>
        <v>4631.25</v>
      </c>
      <c r="K302" s="492"/>
      <c r="L302" s="501">
        <f>$L$163</f>
        <v>0.90890000000000004</v>
      </c>
      <c r="M302" s="494" t="s">
        <v>429</v>
      </c>
      <c r="N302" s="491">
        <f t="shared" ref="N302:N310" si="20">L302*J302</f>
        <v>4209.3431250000003</v>
      </c>
      <c r="O302" s="631"/>
      <c r="Q302" s="595"/>
      <c r="R302" s="484"/>
      <c r="S302" s="595"/>
      <c r="T302" s="595"/>
      <c r="U302" s="595"/>
    </row>
    <row r="303" spans="2:21" s="505" customFormat="1" ht="14.1" customHeight="1">
      <c r="B303" s="951"/>
      <c r="C303" s="600"/>
      <c r="D303" s="607"/>
      <c r="E303" s="642"/>
      <c r="F303" s="643"/>
      <c r="G303" s="610"/>
      <c r="H303" s="614"/>
      <c r="I303" s="618"/>
      <c r="J303" s="495"/>
      <c r="K303" s="491">
        <f>SUM(J302)</f>
        <v>4631.25</v>
      </c>
      <c r="L303" s="493"/>
      <c r="M303" s="494"/>
      <c r="N303" s="491">
        <f t="shared" si="20"/>
        <v>0</v>
      </c>
      <c r="O303" s="631"/>
      <c r="Q303" s="595"/>
      <c r="R303" s="484"/>
      <c r="S303" s="595"/>
      <c r="T303" s="595"/>
      <c r="U303" s="595"/>
    </row>
    <row r="304" spans="2:21" s="505" customFormat="1" ht="14.1" customHeight="1">
      <c r="B304" s="951"/>
      <c r="C304" s="596" t="s">
        <v>214</v>
      </c>
      <c r="D304" s="603" t="s">
        <v>63</v>
      </c>
      <c r="E304" s="615" t="s">
        <v>69</v>
      </c>
      <c r="F304" s="615"/>
      <c r="G304" s="605" t="s">
        <v>66</v>
      </c>
      <c r="H304" s="616">
        <v>0.2</v>
      </c>
      <c r="I304" s="617">
        <f>'UPH-TNG'!$I$15</f>
        <v>92000</v>
      </c>
      <c r="J304" s="491">
        <f>ROUND(H304*I304,2)</f>
        <v>18400</v>
      </c>
      <c r="K304" s="492"/>
      <c r="L304" s="493">
        <v>1</v>
      </c>
      <c r="M304" s="493" t="s">
        <v>422</v>
      </c>
      <c r="N304" s="491">
        <f t="shared" si="20"/>
        <v>18400</v>
      </c>
      <c r="O304" s="631"/>
      <c r="Q304" s="595"/>
      <c r="R304" s="484"/>
      <c r="S304" s="595"/>
      <c r="T304" s="595"/>
      <c r="U304" s="595"/>
    </row>
    <row r="305" spans="2:21" s="505" customFormat="1" ht="14.1" customHeight="1">
      <c r="B305" s="951"/>
      <c r="C305" s="607"/>
      <c r="D305" s="607"/>
      <c r="E305" s="615" t="s">
        <v>70</v>
      </c>
      <c r="F305" s="615"/>
      <c r="G305" s="605" t="s">
        <v>66</v>
      </c>
      <c r="H305" s="616">
        <v>0.1</v>
      </c>
      <c r="I305" s="617">
        <f>'UPH-TNG'!$I$21</f>
        <v>95000</v>
      </c>
      <c r="J305" s="491">
        <f>ROUND(H305*I305,2)</f>
        <v>9500</v>
      </c>
      <c r="K305" s="496"/>
      <c r="L305" s="493">
        <v>1</v>
      </c>
      <c r="M305" s="493" t="s">
        <v>422</v>
      </c>
      <c r="N305" s="491">
        <f t="shared" si="20"/>
        <v>9500</v>
      </c>
      <c r="O305" s="631"/>
      <c r="Q305" s="595"/>
      <c r="R305" s="484"/>
      <c r="S305" s="595"/>
      <c r="T305" s="595"/>
      <c r="U305" s="595"/>
    </row>
    <row r="306" spans="2:21" s="505" customFormat="1" ht="14.1" customHeight="1">
      <c r="B306" s="951"/>
      <c r="C306" s="607"/>
      <c r="D306" s="607"/>
      <c r="E306" s="615" t="s">
        <v>71</v>
      </c>
      <c r="F306" s="615"/>
      <c r="G306" s="605" t="s">
        <v>66</v>
      </c>
      <c r="H306" s="616">
        <v>0.01</v>
      </c>
      <c r="I306" s="617">
        <f>'UPH-TNG'!$I$16</f>
        <v>104000</v>
      </c>
      <c r="J306" s="491">
        <f>ROUND(H306*I306,2)</f>
        <v>1040</v>
      </c>
      <c r="K306" s="496"/>
      <c r="L306" s="493">
        <v>1</v>
      </c>
      <c r="M306" s="493" t="s">
        <v>422</v>
      </c>
      <c r="N306" s="491">
        <f t="shared" si="20"/>
        <v>1040</v>
      </c>
      <c r="O306" s="631"/>
      <c r="Q306" s="595"/>
      <c r="R306" s="484"/>
      <c r="S306" s="595"/>
      <c r="T306" s="595"/>
      <c r="U306" s="595"/>
    </row>
    <row r="307" spans="2:21" s="505" customFormat="1" ht="14.1" customHeight="1">
      <c r="B307" s="951"/>
      <c r="C307" s="607"/>
      <c r="D307" s="607"/>
      <c r="E307" s="615" t="s">
        <v>65</v>
      </c>
      <c r="F307" s="615"/>
      <c r="G307" s="605" t="s">
        <v>66</v>
      </c>
      <c r="H307" s="616">
        <v>0.01</v>
      </c>
      <c r="I307" s="617">
        <f>'UPH-TNG'!$I$20</f>
        <v>98000</v>
      </c>
      <c r="J307" s="491">
        <f>ROUND(H307*I307,2)</f>
        <v>980</v>
      </c>
      <c r="K307" s="607"/>
      <c r="L307" s="493">
        <v>1</v>
      </c>
      <c r="M307" s="493" t="s">
        <v>422</v>
      </c>
      <c r="N307" s="491">
        <f t="shared" si="20"/>
        <v>980</v>
      </c>
      <c r="O307" s="631"/>
      <c r="Q307" s="595"/>
      <c r="R307" s="484"/>
      <c r="S307" s="595"/>
      <c r="T307" s="595"/>
      <c r="U307" s="595"/>
    </row>
    <row r="308" spans="2:21" s="505" customFormat="1" ht="14.1" customHeight="1">
      <c r="B308" s="951"/>
      <c r="C308" s="602"/>
      <c r="D308" s="602"/>
      <c r="E308" s="612"/>
      <c r="F308" s="613"/>
      <c r="G308" s="610"/>
      <c r="H308" s="614"/>
      <c r="I308" s="618"/>
      <c r="J308" s="497"/>
      <c r="K308" s="494">
        <f>SUM(J304:J307)</f>
        <v>29920</v>
      </c>
      <c r="L308" s="501"/>
      <c r="M308" s="494"/>
      <c r="N308" s="491">
        <f t="shared" si="20"/>
        <v>0</v>
      </c>
      <c r="O308" s="631"/>
      <c r="Q308" s="595"/>
      <c r="R308" s="484"/>
      <c r="S308" s="595"/>
      <c r="T308" s="595"/>
      <c r="U308" s="595"/>
    </row>
    <row r="309" spans="2:21" s="505" customFormat="1" ht="14.1" customHeight="1">
      <c r="B309" s="951"/>
      <c r="C309" s="598" t="s">
        <v>215</v>
      </c>
      <c r="D309" s="603" t="s">
        <v>212</v>
      </c>
      <c r="E309" s="615"/>
      <c r="F309" s="615"/>
      <c r="G309" s="605"/>
      <c r="H309" s="616"/>
      <c r="I309" s="617"/>
      <c r="J309" s="491"/>
      <c r="K309" s="492"/>
      <c r="L309" s="501"/>
      <c r="M309" s="494"/>
      <c r="N309" s="491">
        <f t="shared" si="20"/>
        <v>0</v>
      </c>
      <c r="O309" s="631"/>
      <c r="Q309" s="595"/>
      <c r="R309" s="484"/>
      <c r="S309" s="595"/>
      <c r="T309" s="595"/>
      <c r="U309" s="595"/>
    </row>
    <row r="310" spans="2:21" s="505" customFormat="1" ht="14.1" customHeight="1">
      <c r="B310" s="951"/>
      <c r="C310" s="602"/>
      <c r="D310" s="602"/>
      <c r="E310" s="612"/>
      <c r="F310" s="613"/>
      <c r="G310" s="610"/>
      <c r="H310" s="614"/>
      <c r="I310" s="618"/>
      <c r="J310" s="495"/>
      <c r="K310" s="494">
        <f>SUM(J309:J309)</f>
        <v>0</v>
      </c>
      <c r="L310" s="501"/>
      <c r="M310" s="494"/>
      <c r="N310" s="491">
        <f t="shared" si="20"/>
        <v>0</v>
      </c>
      <c r="O310" s="631"/>
      <c r="Q310" s="595"/>
      <c r="R310" s="484"/>
      <c r="S310" s="595"/>
      <c r="T310" s="595"/>
      <c r="U310" s="595"/>
    </row>
    <row r="311" spans="2:21" s="505" customFormat="1" ht="14.1" customHeight="1">
      <c r="B311" s="951"/>
      <c r="C311" s="600" t="s">
        <v>216</v>
      </c>
      <c r="D311" s="619" t="s">
        <v>219</v>
      </c>
      <c r="E311" s="613"/>
      <c r="F311" s="613"/>
      <c r="G311" s="610"/>
      <c r="H311" s="614"/>
      <c r="I311" s="618"/>
      <c r="J311" s="497" t="s">
        <v>220</v>
      </c>
      <c r="K311" s="494">
        <f>K303+K308+K310</f>
        <v>34551.25</v>
      </c>
      <c r="L311" s="649">
        <f>N311/K311</f>
        <v>0.98778895481350171</v>
      </c>
      <c r="M311" s="497"/>
      <c r="N311" s="498">
        <f>SUM(N299:N310)</f>
        <v>34129.343124999999</v>
      </c>
      <c r="O311" s="631"/>
      <c r="Q311" s="595"/>
      <c r="R311" s="484"/>
      <c r="S311" s="595"/>
      <c r="T311" s="595"/>
      <c r="U311" s="595"/>
    </row>
    <row r="312" spans="2:21" s="505" customFormat="1" ht="14.1" customHeight="1">
      <c r="B312" s="951"/>
      <c r="C312" s="600" t="s">
        <v>217</v>
      </c>
      <c r="D312" s="619" t="s">
        <v>221</v>
      </c>
      <c r="E312" s="613"/>
      <c r="F312" s="499">
        <f>$F$48</f>
        <v>0.1</v>
      </c>
      <c r="G312" s="605" t="s">
        <v>168</v>
      </c>
      <c r="H312" s="499">
        <f>$H$48</f>
        <v>0.02</v>
      </c>
      <c r="I312" s="621" t="s">
        <v>167</v>
      </c>
      <c r="J312" s="494" t="s">
        <v>216</v>
      </c>
      <c r="K312" s="500">
        <f>ROUND((K311*(F312+H312)),2)</f>
        <v>4146.1499999999996</v>
      </c>
      <c r="L312" s="494"/>
      <c r="M312" s="494"/>
      <c r="N312" s="494"/>
      <c r="O312" s="631"/>
      <c r="Q312" s="595"/>
      <c r="R312" s="484"/>
      <c r="S312" s="595"/>
      <c r="T312" s="595"/>
      <c r="U312" s="595"/>
    </row>
    <row r="313" spans="2:21" s="505" customFormat="1" ht="14.1" customHeight="1">
      <c r="B313" s="951"/>
      <c r="C313" s="622" t="s">
        <v>222</v>
      </c>
      <c r="D313" s="623" t="s">
        <v>76</v>
      </c>
      <c r="E313" s="624"/>
      <c r="F313" s="624"/>
      <c r="G313" s="624"/>
      <c r="H313" s="625"/>
      <c r="I313" s="624"/>
      <c r="J313" s="626" t="s">
        <v>226</v>
      </c>
      <c r="K313" s="627">
        <f>SUM(K311:K312)</f>
        <v>38697.4</v>
      </c>
      <c r="L313" s="620"/>
      <c r="M313" s="626"/>
      <c r="N313" s="635"/>
      <c r="O313" s="631"/>
      <c r="Q313" s="595"/>
      <c r="R313" s="484"/>
      <c r="S313" s="595"/>
      <c r="T313" s="595"/>
      <c r="U313" s="595"/>
    </row>
    <row r="314" spans="2:21">
      <c r="L314" s="591"/>
      <c r="M314" s="591"/>
      <c r="N314" s="591"/>
      <c r="Q314" s="595"/>
      <c r="R314" s="484"/>
      <c r="S314" s="595"/>
      <c r="T314" s="595"/>
      <c r="U314" s="595"/>
    </row>
    <row r="315" spans="2:21" s="505" customFormat="1" ht="14.1" hidden="1" customHeight="1">
      <c r="B315" s="951">
        <f>B297+1</f>
        <v>18</v>
      </c>
      <c r="C315" s="488"/>
      <c r="D315" s="485" t="s">
        <v>666</v>
      </c>
      <c r="E315" s="485"/>
      <c r="F315" s="485"/>
      <c r="G315" s="485"/>
      <c r="H315" s="488"/>
      <c r="I315" s="485"/>
      <c r="J315" s="485"/>
      <c r="K315" s="591" t="s">
        <v>239</v>
      </c>
      <c r="L315" s="591"/>
      <c r="M315" s="591"/>
      <c r="N315" s="591"/>
      <c r="O315" s="631" t="str">
        <f>D316</f>
        <v>m2</v>
      </c>
      <c r="P315" s="595">
        <f>K331</f>
        <v>50800.4</v>
      </c>
      <c r="Q315" s="593">
        <f>L329</f>
        <v>0.96899396461445186</v>
      </c>
      <c r="R315" s="484">
        <f>N329</f>
        <v>43951.143750000003</v>
      </c>
      <c r="S315" s="594"/>
      <c r="T315" s="484"/>
      <c r="U315" s="593"/>
    </row>
    <row r="316" spans="2:21" s="505" customFormat="1" ht="14.1" hidden="1" customHeight="1">
      <c r="B316" s="951"/>
      <c r="C316" s="488"/>
      <c r="D316" s="485" t="s">
        <v>100</v>
      </c>
      <c r="E316" s="485"/>
      <c r="F316" s="485"/>
      <c r="G316" s="485"/>
      <c r="H316" s="488"/>
      <c r="I316" s="485"/>
      <c r="J316" s="485"/>
      <c r="K316" s="485"/>
      <c r="L316" s="485"/>
      <c r="M316" s="485"/>
      <c r="N316" s="485"/>
      <c r="O316" s="631"/>
      <c r="Q316" s="595"/>
      <c r="R316" s="484"/>
      <c r="S316" s="595"/>
      <c r="T316" s="595"/>
      <c r="U316" s="595"/>
    </row>
    <row r="317" spans="2:21" s="505" customFormat="1" ht="14.1" hidden="1" customHeight="1">
      <c r="B317" s="951"/>
      <c r="C317" s="596"/>
      <c r="D317" s="977" t="s">
        <v>55</v>
      </c>
      <c r="E317" s="978"/>
      <c r="F317" s="597"/>
      <c r="G317" s="981" t="s">
        <v>56</v>
      </c>
      <c r="H317" s="981" t="s">
        <v>57</v>
      </c>
      <c r="I317" s="596" t="s">
        <v>58</v>
      </c>
      <c r="J317" s="596" t="s">
        <v>59</v>
      </c>
      <c r="K317" s="596" t="s">
        <v>102</v>
      </c>
      <c r="L317" s="596" t="s">
        <v>418</v>
      </c>
      <c r="M317" s="596" t="s">
        <v>419</v>
      </c>
      <c r="N317" s="596" t="s">
        <v>59</v>
      </c>
      <c r="O317" s="631"/>
      <c r="Q317" s="595"/>
      <c r="R317" s="484"/>
      <c r="S317" s="595"/>
      <c r="T317" s="595"/>
      <c r="U317" s="595"/>
    </row>
    <row r="318" spans="2:21" s="505" customFormat="1" ht="14.1" hidden="1" customHeight="1">
      <c r="B318" s="951"/>
      <c r="C318" s="598" t="s">
        <v>227</v>
      </c>
      <c r="D318" s="979"/>
      <c r="E318" s="980"/>
      <c r="F318" s="599"/>
      <c r="G318" s="982"/>
      <c r="H318" s="982"/>
      <c r="I318" s="598" t="s">
        <v>60</v>
      </c>
      <c r="J318" s="598" t="s">
        <v>61</v>
      </c>
      <c r="K318" s="598" t="s">
        <v>61</v>
      </c>
      <c r="L318" s="598" t="s">
        <v>421</v>
      </c>
      <c r="M318" s="598"/>
      <c r="N318" s="598" t="s">
        <v>423</v>
      </c>
      <c r="O318" s="631"/>
      <c r="Q318" s="595"/>
      <c r="R318" s="484"/>
      <c r="S318" s="595"/>
      <c r="T318" s="595"/>
      <c r="U318" s="595"/>
    </row>
    <row r="319" spans="2:21" s="505" customFormat="1" ht="14.1" hidden="1" customHeight="1">
      <c r="B319" s="951"/>
      <c r="C319" s="600"/>
      <c r="D319" s="969"/>
      <c r="E319" s="970"/>
      <c r="F319" s="601"/>
      <c r="G319" s="973"/>
      <c r="H319" s="973"/>
      <c r="I319" s="600" t="s">
        <v>61</v>
      </c>
      <c r="J319" s="602"/>
      <c r="K319" s="602"/>
      <c r="L319" s="602"/>
      <c r="M319" s="602"/>
      <c r="N319" s="600" t="s">
        <v>61</v>
      </c>
      <c r="O319" s="631"/>
      <c r="Q319" s="595"/>
      <c r="R319" s="484"/>
      <c r="S319" s="595"/>
      <c r="T319" s="595"/>
      <c r="U319" s="595"/>
    </row>
    <row r="320" spans="2:21" s="505" customFormat="1" ht="14.1" hidden="1" customHeight="1">
      <c r="B320" s="951"/>
      <c r="C320" s="596" t="s">
        <v>213</v>
      </c>
      <c r="D320" s="607" t="s">
        <v>62</v>
      </c>
      <c r="E320" s="637" t="s">
        <v>75</v>
      </c>
      <c r="F320" s="646"/>
      <c r="G320" s="600" t="s">
        <v>73</v>
      </c>
      <c r="H320" s="639">
        <v>3.25</v>
      </c>
      <c r="I320" s="640">
        <f>'UPH-TNG'!I134</f>
        <v>4750</v>
      </c>
      <c r="J320" s="491">
        <f>ROUND(H320*I320,2)</f>
        <v>15437.5</v>
      </c>
      <c r="K320" s="492"/>
      <c r="L320" s="501">
        <f>$L$163</f>
        <v>0.90890000000000004</v>
      </c>
      <c r="M320" s="494" t="s">
        <v>429</v>
      </c>
      <c r="N320" s="491">
        <f t="shared" ref="N320:N328" si="21">L320*J320</f>
        <v>14031.143750000001</v>
      </c>
      <c r="O320" s="631"/>
      <c r="Q320" s="595"/>
      <c r="R320" s="484"/>
      <c r="S320" s="595"/>
      <c r="T320" s="595"/>
      <c r="U320" s="595"/>
    </row>
    <row r="321" spans="2:21" s="505" customFormat="1" ht="14.1" hidden="1" customHeight="1">
      <c r="B321" s="951"/>
      <c r="C321" s="600"/>
      <c r="D321" s="607"/>
      <c r="E321" s="642"/>
      <c r="F321" s="643"/>
      <c r="G321" s="610"/>
      <c r="H321" s="614"/>
      <c r="I321" s="618"/>
      <c r="J321" s="495"/>
      <c r="K321" s="491">
        <f>SUM(J320)</f>
        <v>15437.5</v>
      </c>
      <c r="L321" s="493"/>
      <c r="M321" s="494"/>
      <c r="N321" s="491">
        <f t="shared" si="21"/>
        <v>0</v>
      </c>
      <c r="O321" s="631"/>
      <c r="Q321" s="595"/>
      <c r="R321" s="484"/>
      <c r="S321" s="595"/>
      <c r="T321" s="595"/>
      <c r="U321" s="595"/>
    </row>
    <row r="322" spans="2:21" s="505" customFormat="1" ht="14.1" hidden="1" customHeight="1">
      <c r="B322" s="951"/>
      <c r="C322" s="596" t="s">
        <v>214</v>
      </c>
      <c r="D322" s="603" t="s">
        <v>63</v>
      </c>
      <c r="E322" s="615" t="s">
        <v>69</v>
      </c>
      <c r="F322" s="615"/>
      <c r="G322" s="605" t="s">
        <v>66</v>
      </c>
      <c r="H322" s="616">
        <v>0.2</v>
      </c>
      <c r="I322" s="617">
        <f>'UPH-TNG'!$I$15</f>
        <v>92000</v>
      </c>
      <c r="J322" s="491">
        <f>ROUND(H322*I322,2)</f>
        <v>18400</v>
      </c>
      <c r="K322" s="492"/>
      <c r="L322" s="493">
        <v>1</v>
      </c>
      <c r="M322" s="493" t="s">
        <v>422</v>
      </c>
      <c r="N322" s="491">
        <f t="shared" si="21"/>
        <v>18400</v>
      </c>
      <c r="O322" s="631"/>
      <c r="Q322" s="595"/>
      <c r="R322" s="484"/>
      <c r="S322" s="595"/>
      <c r="T322" s="595"/>
      <c r="U322" s="595"/>
    </row>
    <row r="323" spans="2:21" s="505" customFormat="1" ht="14.1" hidden="1" customHeight="1">
      <c r="B323" s="951"/>
      <c r="C323" s="607"/>
      <c r="D323" s="607"/>
      <c r="E323" s="615" t="s">
        <v>70</v>
      </c>
      <c r="F323" s="615"/>
      <c r="G323" s="605" t="s">
        <v>66</v>
      </c>
      <c r="H323" s="616">
        <v>0.1</v>
      </c>
      <c r="I323" s="617">
        <f>'UPH-TNG'!$I$21</f>
        <v>95000</v>
      </c>
      <c r="J323" s="491">
        <f>ROUND(H323*I323,2)</f>
        <v>9500</v>
      </c>
      <c r="K323" s="496"/>
      <c r="L323" s="493">
        <v>1</v>
      </c>
      <c r="M323" s="493" t="s">
        <v>422</v>
      </c>
      <c r="N323" s="491">
        <f t="shared" si="21"/>
        <v>9500</v>
      </c>
      <c r="O323" s="631"/>
      <c r="Q323" s="595"/>
      <c r="R323" s="484"/>
      <c r="S323" s="595"/>
      <c r="T323" s="595"/>
      <c r="U323" s="595"/>
    </row>
    <row r="324" spans="2:21" s="505" customFormat="1" ht="14.1" hidden="1" customHeight="1">
      <c r="B324" s="951"/>
      <c r="C324" s="607"/>
      <c r="D324" s="607"/>
      <c r="E324" s="615" t="s">
        <v>71</v>
      </c>
      <c r="F324" s="615"/>
      <c r="G324" s="605" t="s">
        <v>66</v>
      </c>
      <c r="H324" s="616">
        <v>0.01</v>
      </c>
      <c r="I324" s="617">
        <f>'UPH-TNG'!$I$16</f>
        <v>104000</v>
      </c>
      <c r="J324" s="491">
        <f>ROUND(H324*I324,2)</f>
        <v>1040</v>
      </c>
      <c r="K324" s="496"/>
      <c r="L324" s="493">
        <v>1</v>
      </c>
      <c r="M324" s="493" t="s">
        <v>422</v>
      </c>
      <c r="N324" s="491">
        <f t="shared" si="21"/>
        <v>1040</v>
      </c>
      <c r="O324" s="631"/>
      <c r="Q324" s="595"/>
      <c r="R324" s="484"/>
      <c r="S324" s="595"/>
      <c r="T324" s="595"/>
      <c r="U324" s="595"/>
    </row>
    <row r="325" spans="2:21" s="505" customFormat="1" ht="14.1" hidden="1" customHeight="1">
      <c r="B325" s="951"/>
      <c r="C325" s="607"/>
      <c r="D325" s="607"/>
      <c r="E325" s="615" t="s">
        <v>65</v>
      </c>
      <c r="F325" s="615"/>
      <c r="G325" s="605" t="s">
        <v>66</v>
      </c>
      <c r="H325" s="616">
        <v>0.01</v>
      </c>
      <c r="I325" s="617">
        <f>'UPH-TNG'!$I$20</f>
        <v>98000</v>
      </c>
      <c r="J325" s="491">
        <f>ROUND(H325*I325,2)</f>
        <v>980</v>
      </c>
      <c r="K325" s="607"/>
      <c r="L325" s="493">
        <v>1</v>
      </c>
      <c r="M325" s="493" t="s">
        <v>422</v>
      </c>
      <c r="N325" s="491">
        <f t="shared" si="21"/>
        <v>980</v>
      </c>
      <c r="O325" s="631"/>
      <c r="Q325" s="595"/>
      <c r="R325" s="484"/>
      <c r="S325" s="595"/>
      <c r="T325" s="595"/>
      <c r="U325" s="595"/>
    </row>
    <row r="326" spans="2:21" s="505" customFormat="1" ht="14.1" hidden="1" customHeight="1">
      <c r="B326" s="951"/>
      <c r="C326" s="602"/>
      <c r="D326" s="602"/>
      <c r="E326" s="612"/>
      <c r="F326" s="613"/>
      <c r="G326" s="610"/>
      <c r="H326" s="614"/>
      <c r="I326" s="618"/>
      <c r="J326" s="497"/>
      <c r="K326" s="494">
        <f>SUM(J322:J325)</f>
        <v>29920</v>
      </c>
      <c r="L326" s="501"/>
      <c r="M326" s="494"/>
      <c r="N326" s="491">
        <f t="shared" si="21"/>
        <v>0</v>
      </c>
      <c r="O326" s="631"/>
      <c r="Q326" s="595"/>
      <c r="R326" s="484"/>
      <c r="S326" s="595"/>
      <c r="T326" s="595"/>
      <c r="U326" s="595"/>
    </row>
    <row r="327" spans="2:21" s="505" customFormat="1" ht="14.1" hidden="1" customHeight="1">
      <c r="B327" s="951"/>
      <c r="C327" s="598" t="s">
        <v>215</v>
      </c>
      <c r="D327" s="603" t="s">
        <v>212</v>
      </c>
      <c r="E327" s="615"/>
      <c r="F327" s="615"/>
      <c r="G327" s="605"/>
      <c r="H327" s="616"/>
      <c r="I327" s="617"/>
      <c r="J327" s="491"/>
      <c r="K327" s="492"/>
      <c r="L327" s="501"/>
      <c r="M327" s="494"/>
      <c r="N327" s="491">
        <f t="shared" si="21"/>
        <v>0</v>
      </c>
      <c r="O327" s="631"/>
      <c r="Q327" s="595"/>
      <c r="R327" s="484"/>
      <c r="S327" s="595"/>
      <c r="T327" s="595"/>
      <c r="U327" s="595"/>
    </row>
    <row r="328" spans="2:21" s="505" customFormat="1" ht="14.1" hidden="1" customHeight="1">
      <c r="B328" s="951"/>
      <c r="C328" s="602"/>
      <c r="D328" s="602"/>
      <c r="E328" s="612"/>
      <c r="F328" s="613"/>
      <c r="G328" s="610"/>
      <c r="H328" s="614"/>
      <c r="I328" s="618"/>
      <c r="J328" s="495"/>
      <c r="K328" s="494">
        <f>SUM(J327:J327)</f>
        <v>0</v>
      </c>
      <c r="L328" s="501"/>
      <c r="M328" s="494"/>
      <c r="N328" s="491">
        <f t="shared" si="21"/>
        <v>0</v>
      </c>
      <c r="O328" s="631"/>
      <c r="Q328" s="595"/>
      <c r="R328" s="484"/>
      <c r="S328" s="595"/>
      <c r="T328" s="595"/>
      <c r="U328" s="595"/>
    </row>
    <row r="329" spans="2:21" s="505" customFormat="1" ht="14.1" hidden="1" customHeight="1">
      <c r="B329" s="951"/>
      <c r="C329" s="600" t="s">
        <v>216</v>
      </c>
      <c r="D329" s="619" t="s">
        <v>219</v>
      </c>
      <c r="E329" s="613"/>
      <c r="F329" s="613"/>
      <c r="G329" s="610"/>
      <c r="H329" s="614"/>
      <c r="I329" s="618"/>
      <c r="J329" s="497" t="s">
        <v>220</v>
      </c>
      <c r="K329" s="494">
        <f>K321+K326+K328</f>
        <v>45357.5</v>
      </c>
      <c r="L329" s="649">
        <f>N329/K329</f>
        <v>0.96899396461445186</v>
      </c>
      <c r="M329" s="497"/>
      <c r="N329" s="498">
        <f>SUM(N317:N328)</f>
        <v>43951.143750000003</v>
      </c>
      <c r="O329" s="631"/>
      <c r="Q329" s="595"/>
      <c r="R329" s="484"/>
      <c r="S329" s="595"/>
      <c r="T329" s="595"/>
      <c r="U329" s="595"/>
    </row>
    <row r="330" spans="2:21" s="505" customFormat="1" ht="14.1" hidden="1" customHeight="1">
      <c r="B330" s="951"/>
      <c r="C330" s="600" t="s">
        <v>217</v>
      </c>
      <c r="D330" s="619" t="s">
        <v>221</v>
      </c>
      <c r="E330" s="613"/>
      <c r="F330" s="499">
        <f>$F$48</f>
        <v>0.1</v>
      </c>
      <c r="G330" s="605" t="s">
        <v>168</v>
      </c>
      <c r="H330" s="499">
        <f>$H$48</f>
        <v>0.02</v>
      </c>
      <c r="I330" s="621" t="s">
        <v>167</v>
      </c>
      <c r="J330" s="494" t="s">
        <v>216</v>
      </c>
      <c r="K330" s="500">
        <f>ROUND((K329*(F330+H330)),2)</f>
        <v>5442.9</v>
      </c>
      <c r="L330" s="494"/>
      <c r="M330" s="494"/>
      <c r="N330" s="494"/>
      <c r="O330" s="631"/>
      <c r="Q330" s="595"/>
      <c r="R330" s="484"/>
      <c r="S330" s="595"/>
      <c r="T330" s="595"/>
      <c r="U330" s="595"/>
    </row>
    <row r="331" spans="2:21" s="505" customFormat="1" ht="14.1" hidden="1" customHeight="1">
      <c r="B331" s="951"/>
      <c r="C331" s="622" t="s">
        <v>222</v>
      </c>
      <c r="D331" s="623" t="s">
        <v>76</v>
      </c>
      <c r="E331" s="624"/>
      <c r="F331" s="624"/>
      <c r="G331" s="624"/>
      <c r="H331" s="625"/>
      <c r="I331" s="624"/>
      <c r="J331" s="626" t="s">
        <v>226</v>
      </c>
      <c r="K331" s="627">
        <f>SUM(K329:K330)</f>
        <v>50800.4</v>
      </c>
      <c r="L331" s="620"/>
      <c r="M331" s="626"/>
      <c r="N331" s="635"/>
      <c r="O331" s="631"/>
      <c r="Q331" s="595"/>
      <c r="R331" s="484"/>
      <c r="S331" s="595"/>
      <c r="T331" s="595"/>
      <c r="U331" s="595"/>
    </row>
    <row r="332" spans="2:21" hidden="1">
      <c r="L332" s="591"/>
      <c r="M332" s="591"/>
      <c r="N332" s="591"/>
      <c r="Q332" s="595"/>
      <c r="R332" s="484"/>
      <c r="S332" s="595"/>
      <c r="T332" s="595"/>
      <c r="U332" s="595"/>
    </row>
    <row r="333" spans="2:21" s="505" customFormat="1" ht="14.1" hidden="1" customHeight="1">
      <c r="B333" s="951">
        <f>B315+1</f>
        <v>19</v>
      </c>
      <c r="C333" s="487"/>
      <c r="D333" s="485" t="s">
        <v>191</v>
      </c>
      <c r="E333" s="628"/>
      <c r="F333" s="628"/>
      <c r="G333" s="628"/>
      <c r="H333" s="487"/>
      <c r="I333" s="628"/>
      <c r="J333" s="628"/>
      <c r="K333" s="591" t="s">
        <v>239</v>
      </c>
      <c r="L333" s="591"/>
      <c r="M333" s="591"/>
      <c r="N333" s="591"/>
      <c r="O333" s="631" t="str">
        <f>D334</f>
        <v>m'</v>
      </c>
      <c r="P333" s="595">
        <f>K350</f>
        <v>66483.199999999997</v>
      </c>
      <c r="Q333" s="593">
        <f>L348</f>
        <v>0.52847035040431267</v>
      </c>
      <c r="R333" s="484">
        <f>N348</f>
        <v>31370</v>
      </c>
      <c r="S333" s="594"/>
      <c r="T333" s="484"/>
      <c r="U333" s="593"/>
    </row>
    <row r="334" spans="2:21" s="505" customFormat="1" ht="14.1" hidden="1" customHeight="1">
      <c r="B334" s="947"/>
      <c r="C334" s="487"/>
      <c r="D334" s="485" t="s">
        <v>32</v>
      </c>
      <c r="E334" s="485"/>
      <c r="F334" s="485"/>
      <c r="G334" s="485"/>
      <c r="H334" s="488"/>
      <c r="I334" s="485"/>
      <c r="J334" s="485"/>
      <c r="K334" s="485"/>
      <c r="L334" s="485"/>
      <c r="M334" s="485"/>
      <c r="N334" s="485"/>
      <c r="O334" s="631"/>
      <c r="Q334" s="595"/>
      <c r="R334" s="484"/>
      <c r="S334" s="595"/>
      <c r="T334" s="595"/>
      <c r="U334" s="595"/>
    </row>
    <row r="335" spans="2:21" s="505" customFormat="1" ht="14.1" hidden="1" customHeight="1">
      <c r="B335" s="947"/>
      <c r="C335" s="596"/>
      <c r="D335" s="975" t="s">
        <v>55</v>
      </c>
      <c r="E335" s="976"/>
      <c r="F335" s="597"/>
      <c r="G335" s="974" t="s">
        <v>56</v>
      </c>
      <c r="H335" s="974" t="s">
        <v>57</v>
      </c>
      <c r="I335" s="596" t="s">
        <v>58</v>
      </c>
      <c r="J335" s="596" t="s">
        <v>59</v>
      </c>
      <c r="K335" s="596" t="s">
        <v>102</v>
      </c>
      <c r="L335" s="596" t="s">
        <v>418</v>
      </c>
      <c r="M335" s="596" t="s">
        <v>419</v>
      </c>
      <c r="N335" s="596" t="s">
        <v>59</v>
      </c>
      <c r="O335" s="631"/>
      <c r="Q335" s="595"/>
      <c r="R335" s="484"/>
      <c r="S335" s="595"/>
      <c r="T335" s="595"/>
      <c r="U335" s="595"/>
    </row>
    <row r="336" spans="2:21" s="505" customFormat="1" ht="14.1" hidden="1" customHeight="1">
      <c r="B336" s="947"/>
      <c r="C336" s="598" t="s">
        <v>227</v>
      </c>
      <c r="D336" s="967"/>
      <c r="E336" s="968"/>
      <c r="F336" s="599"/>
      <c r="G336" s="972"/>
      <c r="H336" s="972"/>
      <c r="I336" s="598" t="s">
        <v>60</v>
      </c>
      <c r="J336" s="598" t="s">
        <v>61</v>
      </c>
      <c r="K336" s="598" t="s">
        <v>61</v>
      </c>
      <c r="L336" s="598" t="s">
        <v>421</v>
      </c>
      <c r="M336" s="598"/>
      <c r="N336" s="598" t="s">
        <v>423</v>
      </c>
      <c r="O336" s="631"/>
      <c r="Q336" s="595"/>
      <c r="R336" s="484"/>
      <c r="S336" s="595"/>
      <c r="T336" s="595"/>
      <c r="U336" s="595"/>
    </row>
    <row r="337" spans="2:21" s="505" customFormat="1" ht="14.1" hidden="1" customHeight="1">
      <c r="B337" s="947"/>
      <c r="C337" s="600"/>
      <c r="D337" s="969"/>
      <c r="E337" s="970"/>
      <c r="F337" s="601"/>
      <c r="G337" s="973"/>
      <c r="H337" s="973"/>
      <c r="I337" s="600" t="s">
        <v>61</v>
      </c>
      <c r="J337" s="602"/>
      <c r="K337" s="602"/>
      <c r="L337" s="602"/>
      <c r="M337" s="602"/>
      <c r="N337" s="600" t="s">
        <v>61</v>
      </c>
      <c r="O337" s="631"/>
      <c r="Q337" s="595"/>
      <c r="R337" s="484"/>
      <c r="S337" s="595"/>
      <c r="T337" s="595"/>
      <c r="U337" s="595"/>
    </row>
    <row r="338" spans="2:21" s="505" customFormat="1" ht="14.1" hidden="1" customHeight="1">
      <c r="B338" s="947"/>
      <c r="C338" s="596" t="s">
        <v>213</v>
      </c>
      <c r="D338" s="607" t="s">
        <v>62</v>
      </c>
      <c r="E338" s="615" t="s">
        <v>173</v>
      </c>
      <c r="F338" s="615"/>
      <c r="G338" s="605" t="s">
        <v>32</v>
      </c>
      <c r="H338" s="656">
        <v>1</v>
      </c>
      <c r="I338" s="617">
        <f>'UPH-TNG'!$I$143/4</f>
        <v>26250</v>
      </c>
      <c r="J338" s="491">
        <f>H338*I338</f>
        <v>26250</v>
      </c>
      <c r="K338" s="492"/>
      <c r="L338" s="501">
        <v>0</v>
      </c>
      <c r="M338" s="494"/>
      <c r="N338" s="491">
        <f t="shared" ref="N338:N347" si="22">L338*J338</f>
        <v>0</v>
      </c>
      <c r="O338" s="631"/>
      <c r="P338" s="510">
        <f>I338*4</f>
        <v>105000</v>
      </c>
      <c r="Q338" s="595"/>
      <c r="R338" s="484"/>
      <c r="S338" s="595"/>
      <c r="T338" s="595"/>
      <c r="U338" s="595"/>
    </row>
    <row r="339" spans="2:21" s="505" customFormat="1" ht="14.1" hidden="1" customHeight="1">
      <c r="B339" s="947"/>
      <c r="C339" s="607"/>
      <c r="D339" s="607"/>
      <c r="E339" s="615" t="s">
        <v>99</v>
      </c>
      <c r="F339" s="615"/>
      <c r="G339" s="605" t="s">
        <v>73</v>
      </c>
      <c r="H339" s="616">
        <v>0.1</v>
      </c>
      <c r="I339" s="617">
        <f>'UPH-TNG'!$I$103</f>
        <v>17400</v>
      </c>
      <c r="J339" s="491">
        <f>H339*I339</f>
        <v>1740</v>
      </c>
      <c r="K339" s="496"/>
      <c r="L339" s="501">
        <v>0</v>
      </c>
      <c r="M339" s="494"/>
      <c r="N339" s="491">
        <f t="shared" si="22"/>
        <v>0</v>
      </c>
      <c r="O339" s="631"/>
      <c r="Q339" s="595"/>
      <c r="R339" s="484"/>
      <c r="S339" s="595"/>
      <c r="T339" s="595"/>
      <c r="U339" s="595"/>
    </row>
    <row r="340" spans="2:21" s="505" customFormat="1" ht="14.1" hidden="1" customHeight="1">
      <c r="B340" s="947"/>
      <c r="C340" s="598"/>
      <c r="D340" s="607"/>
      <c r="E340" s="612"/>
      <c r="F340" s="613"/>
      <c r="G340" s="610"/>
      <c r="H340" s="614"/>
      <c r="I340" s="618"/>
      <c r="J340" s="495"/>
      <c r="K340" s="491">
        <f>SUM(J338:J339)</f>
        <v>27990</v>
      </c>
      <c r="L340" s="501"/>
      <c r="M340" s="494"/>
      <c r="N340" s="491">
        <f t="shared" si="22"/>
        <v>0</v>
      </c>
      <c r="O340" s="631"/>
      <c r="Q340" s="595"/>
      <c r="R340" s="484"/>
      <c r="S340" s="595"/>
      <c r="T340" s="595"/>
      <c r="U340" s="595"/>
    </row>
    <row r="341" spans="2:21" s="505" customFormat="1" ht="14.1" hidden="1" customHeight="1">
      <c r="B341" s="947"/>
      <c r="C341" s="596" t="s">
        <v>214</v>
      </c>
      <c r="D341" s="603" t="s">
        <v>63</v>
      </c>
      <c r="E341" s="615" t="s">
        <v>69</v>
      </c>
      <c r="F341" s="615"/>
      <c r="G341" s="605" t="s">
        <v>66</v>
      </c>
      <c r="H341" s="616">
        <v>0.1</v>
      </c>
      <c r="I341" s="617">
        <f>'UPH-TNG'!$I$15</f>
        <v>92000</v>
      </c>
      <c r="J341" s="491">
        <f>H341*I341</f>
        <v>9200</v>
      </c>
      <c r="K341" s="507"/>
      <c r="L341" s="493">
        <v>1</v>
      </c>
      <c r="M341" s="493" t="s">
        <v>422</v>
      </c>
      <c r="N341" s="491">
        <f t="shared" si="22"/>
        <v>9200</v>
      </c>
      <c r="O341" s="631"/>
      <c r="Q341" s="595"/>
      <c r="R341" s="484"/>
      <c r="S341" s="595"/>
      <c r="T341" s="595"/>
      <c r="U341" s="595"/>
    </row>
    <row r="342" spans="2:21" s="505" customFormat="1" ht="14.1" hidden="1" customHeight="1">
      <c r="B342" s="947"/>
      <c r="C342" s="607"/>
      <c r="D342" s="607"/>
      <c r="E342" s="615" t="s">
        <v>93</v>
      </c>
      <c r="F342" s="615"/>
      <c r="G342" s="605" t="s">
        <v>66</v>
      </c>
      <c r="H342" s="616">
        <v>0.2</v>
      </c>
      <c r="I342" s="617">
        <f>'UPH-TNG'!$I$24</f>
        <v>98000</v>
      </c>
      <c r="J342" s="491">
        <f>H342*I342</f>
        <v>19600</v>
      </c>
      <c r="K342" s="507"/>
      <c r="L342" s="493">
        <v>1</v>
      </c>
      <c r="M342" s="493" t="s">
        <v>422</v>
      </c>
      <c r="N342" s="491">
        <f t="shared" si="22"/>
        <v>19600</v>
      </c>
      <c r="O342" s="631"/>
      <c r="Q342" s="595"/>
      <c r="R342" s="484"/>
      <c r="S342" s="595"/>
      <c r="T342" s="595"/>
      <c r="U342" s="595"/>
    </row>
    <row r="343" spans="2:21" s="505" customFormat="1" ht="14.1" hidden="1" customHeight="1">
      <c r="B343" s="947"/>
      <c r="C343" s="607"/>
      <c r="D343" s="607"/>
      <c r="E343" s="615" t="s">
        <v>238</v>
      </c>
      <c r="F343" s="615"/>
      <c r="G343" s="605" t="s">
        <v>66</v>
      </c>
      <c r="H343" s="616">
        <v>0.02</v>
      </c>
      <c r="I343" s="617">
        <f>'UPH-TNG'!$I$19</f>
        <v>104000</v>
      </c>
      <c r="J343" s="491">
        <f>H343*I343</f>
        <v>2080</v>
      </c>
      <c r="K343" s="607"/>
      <c r="L343" s="493">
        <v>1</v>
      </c>
      <c r="M343" s="493" t="s">
        <v>422</v>
      </c>
      <c r="N343" s="491">
        <f t="shared" si="22"/>
        <v>2080</v>
      </c>
      <c r="O343" s="631"/>
      <c r="Q343" s="595"/>
      <c r="R343" s="484"/>
      <c r="S343" s="595"/>
      <c r="T343" s="595"/>
      <c r="U343" s="595"/>
    </row>
    <row r="344" spans="2:21" s="505" customFormat="1" ht="14.1" hidden="1" customHeight="1">
      <c r="B344" s="947"/>
      <c r="C344" s="607"/>
      <c r="D344" s="607"/>
      <c r="E344" s="615" t="s">
        <v>65</v>
      </c>
      <c r="F344" s="615"/>
      <c r="G344" s="605" t="s">
        <v>66</v>
      </c>
      <c r="H344" s="616">
        <v>5.0000000000000001E-3</v>
      </c>
      <c r="I344" s="617">
        <f>'UPH-TNG'!$I$20</f>
        <v>98000</v>
      </c>
      <c r="J344" s="491">
        <f>H344*I344</f>
        <v>490</v>
      </c>
      <c r="K344" s="602"/>
      <c r="L344" s="493">
        <v>1</v>
      </c>
      <c r="M344" s="493" t="s">
        <v>422</v>
      </c>
      <c r="N344" s="491">
        <f t="shared" si="22"/>
        <v>490</v>
      </c>
      <c r="O344" s="631"/>
      <c r="Q344" s="595"/>
      <c r="R344" s="484"/>
      <c r="S344" s="595"/>
      <c r="T344" s="595"/>
      <c r="U344" s="595"/>
    </row>
    <row r="345" spans="2:21" s="505" customFormat="1" ht="14.1" hidden="1" customHeight="1">
      <c r="B345" s="947"/>
      <c r="C345" s="600"/>
      <c r="D345" s="602"/>
      <c r="E345" s="612"/>
      <c r="F345" s="613"/>
      <c r="G345" s="610"/>
      <c r="H345" s="614"/>
      <c r="I345" s="618"/>
      <c r="J345" s="495"/>
      <c r="K345" s="508">
        <f>SUM(J341:J344)</f>
        <v>31370</v>
      </c>
      <c r="L345" s="501"/>
      <c r="M345" s="494"/>
      <c r="N345" s="491">
        <f t="shared" si="22"/>
        <v>0</v>
      </c>
      <c r="O345" s="631"/>
      <c r="Q345" s="595"/>
      <c r="R345" s="484"/>
      <c r="S345" s="595"/>
      <c r="T345" s="595"/>
      <c r="U345" s="595"/>
    </row>
    <row r="346" spans="2:21" s="505" customFormat="1" ht="14.1" hidden="1" customHeight="1">
      <c r="B346" s="951"/>
      <c r="C346" s="598" t="s">
        <v>215</v>
      </c>
      <c r="D346" s="603" t="s">
        <v>212</v>
      </c>
      <c r="E346" s="615"/>
      <c r="F346" s="615"/>
      <c r="G346" s="605"/>
      <c r="H346" s="616"/>
      <c r="I346" s="617"/>
      <c r="J346" s="491"/>
      <c r="K346" s="492"/>
      <c r="L346" s="501"/>
      <c r="M346" s="494"/>
      <c r="N346" s="491">
        <f t="shared" si="22"/>
        <v>0</v>
      </c>
      <c r="O346" s="631"/>
      <c r="Q346" s="595"/>
      <c r="R346" s="484"/>
      <c r="S346" s="595"/>
      <c r="T346" s="595"/>
      <c r="U346" s="595"/>
    </row>
    <row r="347" spans="2:21" s="505" customFormat="1" ht="14.1" hidden="1" customHeight="1">
      <c r="B347" s="951"/>
      <c r="C347" s="600"/>
      <c r="D347" s="602"/>
      <c r="E347" s="612"/>
      <c r="F347" s="613"/>
      <c r="G347" s="610"/>
      <c r="H347" s="614"/>
      <c r="I347" s="618"/>
      <c r="J347" s="495"/>
      <c r="K347" s="494">
        <f>SUM(J346:J346)</f>
        <v>0</v>
      </c>
      <c r="L347" s="501"/>
      <c r="M347" s="494"/>
      <c r="N347" s="491">
        <f t="shared" si="22"/>
        <v>0</v>
      </c>
      <c r="O347" s="631"/>
      <c r="Q347" s="595"/>
      <c r="R347" s="484"/>
      <c r="S347" s="595"/>
      <c r="T347" s="595"/>
      <c r="U347" s="595"/>
    </row>
    <row r="348" spans="2:21" s="505" customFormat="1" ht="14.1" hidden="1" customHeight="1">
      <c r="B348" s="951"/>
      <c r="C348" s="600" t="s">
        <v>216</v>
      </c>
      <c r="D348" s="619" t="s">
        <v>219</v>
      </c>
      <c r="E348" s="613"/>
      <c r="F348" s="613"/>
      <c r="G348" s="610"/>
      <c r="H348" s="614"/>
      <c r="I348" s="618"/>
      <c r="J348" s="497" t="s">
        <v>220</v>
      </c>
      <c r="K348" s="494">
        <f>K340+K345+K347</f>
        <v>59360</v>
      </c>
      <c r="L348" s="649">
        <f>N348/K348</f>
        <v>0.52847035040431267</v>
      </c>
      <c r="M348" s="497"/>
      <c r="N348" s="498">
        <f>SUM(N336:N347)</f>
        <v>31370</v>
      </c>
      <c r="O348" s="631"/>
      <c r="Q348" s="595"/>
      <c r="R348" s="484"/>
      <c r="S348" s="595"/>
      <c r="T348" s="595"/>
      <c r="U348" s="595"/>
    </row>
    <row r="349" spans="2:21" s="505" customFormat="1" ht="14.1" hidden="1" customHeight="1">
      <c r="B349" s="951"/>
      <c r="C349" s="600" t="s">
        <v>217</v>
      </c>
      <c r="D349" s="619" t="s">
        <v>221</v>
      </c>
      <c r="E349" s="613"/>
      <c r="F349" s="499">
        <f>$F$48</f>
        <v>0.1</v>
      </c>
      <c r="G349" s="605" t="s">
        <v>168</v>
      </c>
      <c r="H349" s="499">
        <f>$H$48</f>
        <v>0.02</v>
      </c>
      <c r="I349" s="621" t="s">
        <v>167</v>
      </c>
      <c r="J349" s="494" t="s">
        <v>216</v>
      </c>
      <c r="K349" s="500">
        <f>ROUND((K348*(F349+H349)),2)</f>
        <v>7123.2</v>
      </c>
      <c r="L349" s="494"/>
      <c r="M349" s="494"/>
      <c r="N349" s="494"/>
      <c r="O349" s="631"/>
      <c r="Q349" s="595"/>
      <c r="R349" s="484"/>
      <c r="S349" s="595"/>
      <c r="T349" s="595"/>
      <c r="U349" s="595"/>
    </row>
    <row r="350" spans="2:21" s="505" customFormat="1" ht="14.1" hidden="1" customHeight="1">
      <c r="B350" s="947"/>
      <c r="C350" s="622" t="s">
        <v>222</v>
      </c>
      <c r="D350" s="623" t="s">
        <v>76</v>
      </c>
      <c r="E350" s="624"/>
      <c r="F350" s="624"/>
      <c r="G350" s="624"/>
      <c r="H350" s="625"/>
      <c r="I350" s="624"/>
      <c r="J350" s="626" t="s">
        <v>226</v>
      </c>
      <c r="K350" s="627">
        <f>SUM(K348:K349)</f>
        <v>66483.199999999997</v>
      </c>
      <c r="L350" s="620"/>
      <c r="M350" s="626"/>
      <c r="N350" s="635"/>
      <c r="O350" s="631"/>
      <c r="Q350" s="595"/>
      <c r="R350" s="484"/>
      <c r="S350" s="595"/>
      <c r="T350" s="595"/>
      <c r="U350" s="595"/>
    </row>
    <row r="351" spans="2:21" hidden="1">
      <c r="Q351" s="595"/>
      <c r="R351" s="484"/>
      <c r="S351" s="595"/>
      <c r="T351" s="595"/>
      <c r="U351" s="595"/>
    </row>
    <row r="352" spans="2:21" s="505" customFormat="1" ht="14.1" customHeight="1">
      <c r="B352" s="951">
        <f>B333+1</f>
        <v>20</v>
      </c>
      <c r="C352" s="488"/>
      <c r="D352" s="485" t="s">
        <v>446</v>
      </c>
      <c r="E352" s="485"/>
      <c r="F352" s="485"/>
      <c r="G352" s="485"/>
      <c r="H352" s="488"/>
      <c r="I352" s="485"/>
      <c r="J352" s="485"/>
      <c r="K352" s="591" t="s">
        <v>481</v>
      </c>
      <c r="L352" s="591"/>
      <c r="M352" s="591"/>
      <c r="N352" s="591"/>
      <c r="O352" s="631" t="str">
        <f>D353</f>
        <v>m3</v>
      </c>
      <c r="P352" s="595">
        <f>K371</f>
        <v>1044137.92</v>
      </c>
      <c r="Q352" s="593">
        <f>L369</f>
        <v>0.96560539320322747</v>
      </c>
      <c r="R352" s="484">
        <f>N369</f>
        <v>900201.07750000001</v>
      </c>
      <c r="S352" s="594"/>
      <c r="T352" s="484"/>
      <c r="U352" s="593"/>
    </row>
    <row r="353" spans="2:21" s="505" customFormat="1" ht="14.1" customHeight="1">
      <c r="B353" s="951"/>
      <c r="C353" s="488"/>
      <c r="D353" s="485" t="s">
        <v>68</v>
      </c>
      <c r="E353" s="485"/>
      <c r="F353" s="485"/>
      <c r="G353" s="485"/>
      <c r="H353" s="488"/>
      <c r="I353" s="485"/>
      <c r="J353" s="485"/>
      <c r="K353" s="485"/>
      <c r="L353" s="485"/>
      <c r="M353" s="485"/>
      <c r="N353" s="485"/>
      <c r="O353" s="631"/>
      <c r="Q353" s="595"/>
      <c r="R353" s="484"/>
      <c r="S353" s="595"/>
      <c r="T353" s="595"/>
      <c r="U353" s="595"/>
    </row>
    <row r="354" spans="2:21" s="505" customFormat="1" ht="14.1" customHeight="1">
      <c r="B354" s="951"/>
      <c r="C354" s="596"/>
      <c r="D354" s="977" t="s">
        <v>55</v>
      </c>
      <c r="E354" s="978"/>
      <c r="F354" s="597"/>
      <c r="G354" s="981" t="s">
        <v>56</v>
      </c>
      <c r="H354" s="981" t="s">
        <v>57</v>
      </c>
      <c r="I354" s="596" t="s">
        <v>58</v>
      </c>
      <c r="J354" s="596" t="s">
        <v>59</v>
      </c>
      <c r="K354" s="596" t="s">
        <v>102</v>
      </c>
      <c r="L354" s="596" t="s">
        <v>418</v>
      </c>
      <c r="M354" s="596" t="s">
        <v>419</v>
      </c>
      <c r="N354" s="596" t="s">
        <v>59</v>
      </c>
      <c r="O354" s="631"/>
      <c r="Q354" s="595"/>
      <c r="R354" s="484"/>
      <c r="S354" s="595"/>
      <c r="T354" s="595"/>
      <c r="U354" s="595"/>
    </row>
    <row r="355" spans="2:21" s="505" customFormat="1" ht="14.1" customHeight="1">
      <c r="B355" s="951"/>
      <c r="C355" s="598" t="s">
        <v>227</v>
      </c>
      <c r="D355" s="979"/>
      <c r="E355" s="980"/>
      <c r="F355" s="599"/>
      <c r="G355" s="982"/>
      <c r="H355" s="982"/>
      <c r="I355" s="598" t="s">
        <v>60</v>
      </c>
      <c r="J355" s="598" t="s">
        <v>61</v>
      </c>
      <c r="K355" s="598" t="s">
        <v>61</v>
      </c>
      <c r="L355" s="598" t="s">
        <v>421</v>
      </c>
      <c r="M355" s="598"/>
      <c r="N355" s="598" t="s">
        <v>423</v>
      </c>
      <c r="O355" s="631"/>
      <c r="Q355" s="595"/>
      <c r="R355" s="484"/>
      <c r="S355" s="595"/>
      <c r="T355" s="595"/>
      <c r="U355" s="595"/>
    </row>
    <row r="356" spans="2:21" s="505" customFormat="1" ht="14.1" customHeight="1">
      <c r="B356" s="951"/>
      <c r="C356" s="600"/>
      <c r="D356" s="969"/>
      <c r="E356" s="970"/>
      <c r="F356" s="601"/>
      <c r="G356" s="973"/>
      <c r="H356" s="973"/>
      <c r="I356" s="600" t="s">
        <v>61</v>
      </c>
      <c r="J356" s="602"/>
      <c r="K356" s="602"/>
      <c r="L356" s="602"/>
      <c r="M356" s="602"/>
      <c r="N356" s="600" t="s">
        <v>61</v>
      </c>
      <c r="O356" s="631"/>
      <c r="Q356" s="595"/>
      <c r="R356" s="484"/>
      <c r="S356" s="595"/>
      <c r="T356" s="595"/>
      <c r="U356" s="595"/>
    </row>
    <row r="357" spans="2:21" s="505" customFormat="1" ht="14.1" customHeight="1">
      <c r="B357" s="951"/>
      <c r="C357" s="596" t="s">
        <v>213</v>
      </c>
      <c r="D357" s="603" t="s">
        <v>62</v>
      </c>
      <c r="E357" s="615" t="s">
        <v>75</v>
      </c>
      <c r="F357" s="615"/>
      <c r="G357" s="605" t="s">
        <v>73</v>
      </c>
      <c r="H357" s="616">
        <v>247</v>
      </c>
      <c r="I357" s="617">
        <f>'UPH-TNG'!$I$104</f>
        <v>1425</v>
      </c>
      <c r="J357" s="491">
        <f>ROUND(H357*I357,2)</f>
        <v>351975</v>
      </c>
      <c r="K357" s="492"/>
      <c r="L357" s="501">
        <f>$L$163</f>
        <v>0.90890000000000004</v>
      </c>
      <c r="M357" s="494" t="s">
        <v>429</v>
      </c>
      <c r="N357" s="491">
        <f t="shared" ref="N357:N368" si="23">L357*J357</f>
        <v>319910.07750000001</v>
      </c>
      <c r="O357" s="631"/>
      <c r="Q357" s="595">
        <f>H357/40</f>
        <v>6.1749999999999998</v>
      </c>
      <c r="R357" s="484">
        <f>Q357*R358</f>
        <v>15.4375</v>
      </c>
      <c r="S357" s="595"/>
      <c r="T357" s="595"/>
      <c r="U357" s="595"/>
    </row>
    <row r="358" spans="2:21" s="505" customFormat="1" ht="14.1" customHeight="1">
      <c r="B358" s="951"/>
      <c r="C358" s="598"/>
      <c r="D358" s="607"/>
      <c r="E358" s="615" t="s">
        <v>78</v>
      </c>
      <c r="F358" s="615"/>
      <c r="G358" s="605" t="s">
        <v>73</v>
      </c>
      <c r="H358" s="616">
        <v>869</v>
      </c>
      <c r="I358" s="617">
        <f>'UPH-TNG'!$I$106/1400</f>
        <v>200</v>
      </c>
      <c r="J358" s="491">
        <f>ROUND(H358*I358,2)</f>
        <v>173800</v>
      </c>
      <c r="K358" s="496"/>
      <c r="L358" s="493">
        <v>1</v>
      </c>
      <c r="M358" s="494"/>
      <c r="N358" s="491">
        <f t="shared" si="23"/>
        <v>173800</v>
      </c>
      <c r="O358" s="631"/>
      <c r="Q358" s="595">
        <v>3</v>
      </c>
      <c r="R358" s="510">
        <f>10*5*0.05</f>
        <v>2.5</v>
      </c>
      <c r="S358" s="595">
        <v>3</v>
      </c>
      <c r="T358" s="595">
        <f>R358*S358</f>
        <v>7.5</v>
      </c>
      <c r="U358" s="595"/>
    </row>
    <row r="359" spans="2:21" s="505" customFormat="1" ht="14.1" customHeight="1">
      <c r="B359" s="951"/>
      <c r="C359" s="607"/>
      <c r="D359" s="607"/>
      <c r="E359" s="615" t="s">
        <v>81</v>
      </c>
      <c r="F359" s="615"/>
      <c r="G359" s="605" t="s">
        <v>73</v>
      </c>
      <c r="H359" s="616">
        <v>999</v>
      </c>
      <c r="I359" s="617">
        <f>'UPH-TNG'!$I$45/1350</f>
        <v>207.40740740740742</v>
      </c>
      <c r="J359" s="491">
        <f>ROUND(H359*I359,2)</f>
        <v>207200</v>
      </c>
      <c r="K359" s="496"/>
      <c r="L359" s="493">
        <v>1</v>
      </c>
      <c r="M359" s="494"/>
      <c r="N359" s="491">
        <f t="shared" si="23"/>
        <v>207200</v>
      </c>
      <c r="O359" s="631"/>
      <c r="Q359" s="595"/>
      <c r="R359" s="484"/>
      <c r="S359" s="595"/>
      <c r="T359" s="595"/>
      <c r="U359" s="595"/>
    </row>
    <row r="360" spans="2:21" s="505" customFormat="1" ht="14.1" customHeight="1">
      <c r="B360" s="951"/>
      <c r="C360" s="607"/>
      <c r="D360" s="607"/>
      <c r="E360" s="615" t="s">
        <v>80</v>
      </c>
      <c r="F360" s="615"/>
      <c r="G360" s="605" t="s">
        <v>141</v>
      </c>
      <c r="H360" s="616">
        <v>215</v>
      </c>
      <c r="I360" s="617">
        <f>'UPH-TNG'!$I$34</f>
        <v>48</v>
      </c>
      <c r="J360" s="491">
        <f>ROUND(H360*I360,2)</f>
        <v>10320</v>
      </c>
      <c r="K360" s="602"/>
      <c r="L360" s="493">
        <v>1</v>
      </c>
      <c r="M360" s="494"/>
      <c r="N360" s="491">
        <f t="shared" si="23"/>
        <v>10320</v>
      </c>
      <c r="O360" s="631"/>
      <c r="Q360" s="595">
        <f>H357/50</f>
        <v>4.9400000000000004</v>
      </c>
      <c r="R360" s="484">
        <f>Q360*R361</f>
        <v>12.350000000000001</v>
      </c>
      <c r="S360" s="595"/>
      <c r="T360" s="595"/>
      <c r="U360" s="595"/>
    </row>
    <row r="361" spans="2:21" s="505" customFormat="1" ht="14.1" customHeight="1">
      <c r="B361" s="951"/>
      <c r="C361" s="600"/>
      <c r="D361" s="607"/>
      <c r="E361" s="612"/>
      <c r="F361" s="613"/>
      <c r="G361" s="610"/>
      <c r="H361" s="614"/>
      <c r="I361" s="618"/>
      <c r="J361" s="495"/>
      <c r="K361" s="491">
        <f>SUM(J357:J360)</f>
        <v>743295</v>
      </c>
      <c r="L361" s="493"/>
      <c r="M361" s="494"/>
      <c r="N361" s="491">
        <f t="shared" si="23"/>
        <v>0</v>
      </c>
      <c r="O361" s="631"/>
      <c r="Q361" s="595">
        <v>3</v>
      </c>
      <c r="R361" s="510">
        <f>10*5*0.05</f>
        <v>2.5</v>
      </c>
      <c r="S361" s="595">
        <v>3</v>
      </c>
      <c r="T361" s="595">
        <f>R361*S361</f>
        <v>7.5</v>
      </c>
      <c r="U361" s="595"/>
    </row>
    <row r="362" spans="2:21" s="505" customFormat="1" ht="14.1" customHeight="1">
      <c r="B362" s="951"/>
      <c r="C362" s="596" t="s">
        <v>214</v>
      </c>
      <c r="D362" s="603" t="s">
        <v>63</v>
      </c>
      <c r="E362" s="615" t="s">
        <v>69</v>
      </c>
      <c r="F362" s="615"/>
      <c r="G362" s="605" t="s">
        <v>66</v>
      </c>
      <c r="H362" s="616">
        <v>1.65</v>
      </c>
      <c r="I362" s="617">
        <f>'UPH-TNG'!$I$15</f>
        <v>92000</v>
      </c>
      <c r="J362" s="491">
        <f>ROUND(H362*I362,2)</f>
        <v>151800</v>
      </c>
      <c r="K362" s="492"/>
      <c r="L362" s="493">
        <v>1</v>
      </c>
      <c r="M362" s="493" t="s">
        <v>422</v>
      </c>
      <c r="N362" s="491">
        <f t="shared" si="23"/>
        <v>151800</v>
      </c>
      <c r="O362" s="631"/>
      <c r="Q362" s="595"/>
      <c r="R362" s="484"/>
      <c r="S362" s="595"/>
      <c r="T362" s="595"/>
      <c r="U362" s="595"/>
    </row>
    <row r="363" spans="2:21" s="505" customFormat="1" ht="14.1" customHeight="1">
      <c r="B363" s="951"/>
      <c r="C363" s="607"/>
      <c r="D363" s="607"/>
      <c r="E363" s="615" t="s">
        <v>70</v>
      </c>
      <c r="F363" s="615"/>
      <c r="G363" s="605" t="s">
        <v>66</v>
      </c>
      <c r="H363" s="616">
        <v>0.27500000000000002</v>
      </c>
      <c r="I363" s="617">
        <f>'UPH-TNG'!$I$21</f>
        <v>95000</v>
      </c>
      <c r="J363" s="491">
        <f>ROUND(H363*I363,2)</f>
        <v>26125</v>
      </c>
      <c r="K363" s="496"/>
      <c r="L363" s="493">
        <v>1</v>
      </c>
      <c r="M363" s="493" t="s">
        <v>422</v>
      </c>
      <c r="N363" s="491">
        <f t="shared" si="23"/>
        <v>26125</v>
      </c>
      <c r="O363" s="631"/>
      <c r="Q363" s="595"/>
      <c r="R363" s="484"/>
      <c r="S363" s="595"/>
      <c r="T363" s="595"/>
      <c r="U363" s="595"/>
    </row>
    <row r="364" spans="2:21" s="505" customFormat="1" ht="14.1" customHeight="1">
      <c r="B364" s="951"/>
      <c r="C364" s="607"/>
      <c r="D364" s="607"/>
      <c r="E364" s="615" t="s">
        <v>71</v>
      </c>
      <c r="F364" s="615"/>
      <c r="G364" s="605" t="s">
        <v>66</v>
      </c>
      <c r="H364" s="616">
        <v>2.8000000000000001E-2</v>
      </c>
      <c r="I364" s="617">
        <f>'UPH-TNG'!$I$16</f>
        <v>104000</v>
      </c>
      <c r="J364" s="491">
        <f>ROUND(H364*I364,2)</f>
        <v>2912</v>
      </c>
      <c r="K364" s="496"/>
      <c r="L364" s="493">
        <v>1</v>
      </c>
      <c r="M364" s="493" t="s">
        <v>422</v>
      </c>
      <c r="N364" s="491">
        <f t="shared" si="23"/>
        <v>2912</v>
      </c>
      <c r="O364" s="631"/>
      <c r="Q364" s="595"/>
      <c r="R364" s="484"/>
      <c r="S364" s="595"/>
      <c r="T364" s="595"/>
      <c r="U364" s="595"/>
    </row>
    <row r="365" spans="2:21" s="505" customFormat="1" ht="14.1" customHeight="1">
      <c r="B365" s="951"/>
      <c r="C365" s="607"/>
      <c r="D365" s="607"/>
      <c r="E365" s="615" t="s">
        <v>65</v>
      </c>
      <c r="F365" s="615"/>
      <c r="G365" s="605" t="s">
        <v>66</v>
      </c>
      <c r="H365" s="616">
        <v>8.3000000000000004E-2</v>
      </c>
      <c r="I365" s="617">
        <f>'UPH-TNG'!$I$20</f>
        <v>98000</v>
      </c>
      <c r="J365" s="491">
        <f>ROUND(H365*I365,2)</f>
        <v>8134</v>
      </c>
      <c r="K365" s="607"/>
      <c r="L365" s="493">
        <v>1</v>
      </c>
      <c r="M365" s="493" t="s">
        <v>422</v>
      </c>
      <c r="N365" s="491">
        <f t="shared" si="23"/>
        <v>8134</v>
      </c>
      <c r="O365" s="631"/>
      <c r="Q365" s="595"/>
      <c r="R365" s="484"/>
      <c r="S365" s="595"/>
      <c r="T365" s="595"/>
      <c r="U365" s="595"/>
    </row>
    <row r="366" spans="2:21" s="505" customFormat="1" ht="14.1" customHeight="1">
      <c r="B366" s="951"/>
      <c r="C366" s="602"/>
      <c r="D366" s="607"/>
      <c r="E366" s="612"/>
      <c r="F366" s="613"/>
      <c r="G366" s="610"/>
      <c r="H366" s="614"/>
      <c r="I366" s="618"/>
      <c r="J366" s="495"/>
      <c r="K366" s="494">
        <f>SUM(J362:J365)</f>
        <v>188971</v>
      </c>
      <c r="L366" s="493"/>
      <c r="M366" s="494"/>
      <c r="N366" s="491">
        <f t="shared" si="23"/>
        <v>0</v>
      </c>
      <c r="O366" s="631"/>
      <c r="Q366" s="595"/>
      <c r="R366" s="484"/>
      <c r="S366" s="595"/>
      <c r="T366" s="595"/>
      <c r="U366" s="595"/>
    </row>
    <row r="367" spans="2:21" s="505" customFormat="1" ht="14.1" customHeight="1">
      <c r="B367" s="951"/>
      <c r="C367" s="598" t="s">
        <v>215</v>
      </c>
      <c r="D367" s="603" t="s">
        <v>212</v>
      </c>
      <c r="E367" s="615"/>
      <c r="F367" s="615"/>
      <c r="G367" s="605"/>
      <c r="H367" s="616"/>
      <c r="I367" s="617"/>
      <c r="J367" s="491"/>
      <c r="K367" s="492"/>
      <c r="L367" s="493"/>
      <c r="M367" s="494"/>
      <c r="N367" s="491">
        <f t="shared" si="23"/>
        <v>0</v>
      </c>
      <c r="O367" s="631"/>
      <c r="Q367" s="595"/>
      <c r="R367" s="484"/>
      <c r="S367" s="595"/>
      <c r="T367" s="595"/>
      <c r="U367" s="595"/>
    </row>
    <row r="368" spans="2:21" s="505" customFormat="1" ht="14.1" customHeight="1">
      <c r="B368" s="951"/>
      <c r="C368" s="600"/>
      <c r="D368" s="602"/>
      <c r="E368" s="612"/>
      <c r="F368" s="613"/>
      <c r="G368" s="610"/>
      <c r="H368" s="614"/>
      <c r="I368" s="618"/>
      <c r="J368" s="495"/>
      <c r="K368" s="494">
        <f>SUM(J367:J367)</f>
        <v>0</v>
      </c>
      <c r="L368" s="493"/>
      <c r="M368" s="494"/>
      <c r="N368" s="491">
        <f t="shared" si="23"/>
        <v>0</v>
      </c>
      <c r="O368" s="631"/>
      <c r="Q368" s="595"/>
      <c r="R368" s="484"/>
      <c r="S368" s="595"/>
      <c r="T368" s="595"/>
      <c r="U368" s="595"/>
    </row>
    <row r="369" spans="2:23" s="505" customFormat="1" ht="14.1" customHeight="1">
      <c r="B369" s="951"/>
      <c r="C369" s="605" t="s">
        <v>216</v>
      </c>
      <c r="D369" s="619" t="s">
        <v>219</v>
      </c>
      <c r="E369" s="613"/>
      <c r="F369" s="613"/>
      <c r="G369" s="610"/>
      <c r="H369" s="614"/>
      <c r="I369" s="618"/>
      <c r="J369" s="497" t="s">
        <v>220</v>
      </c>
      <c r="K369" s="494">
        <f>K361+K366+K368</f>
        <v>932266</v>
      </c>
      <c r="L369" s="620">
        <f>N369/K369</f>
        <v>0.96560539320322747</v>
      </c>
      <c r="M369" s="497"/>
      <c r="N369" s="498">
        <f>SUM(N357:N368)</f>
        <v>900201.07750000001</v>
      </c>
      <c r="O369" s="631"/>
      <c r="Q369" s="595"/>
      <c r="R369" s="484"/>
      <c r="S369" s="595"/>
      <c r="T369" s="595"/>
      <c r="U369" s="595"/>
    </row>
    <row r="370" spans="2:23" s="505" customFormat="1" ht="14.1" customHeight="1">
      <c r="B370" s="951"/>
      <c r="C370" s="600" t="s">
        <v>217</v>
      </c>
      <c r="D370" s="619" t="s">
        <v>221</v>
      </c>
      <c r="E370" s="613"/>
      <c r="F370" s="499">
        <f>$F$48</f>
        <v>0.1</v>
      </c>
      <c r="G370" s="605" t="s">
        <v>168</v>
      </c>
      <c r="H370" s="499">
        <f>$H$48</f>
        <v>0.02</v>
      </c>
      <c r="I370" s="621" t="s">
        <v>167</v>
      </c>
      <c r="J370" s="494" t="s">
        <v>216</v>
      </c>
      <c r="K370" s="500">
        <f>ROUND((K369*(F370+H370)),2)</f>
        <v>111871.92</v>
      </c>
      <c r="L370" s="494"/>
      <c r="M370" s="494"/>
      <c r="N370" s="494"/>
      <c r="O370" s="631"/>
      <c r="Q370" s="595"/>
      <c r="R370" s="484"/>
      <c r="S370" s="595"/>
      <c r="T370" s="595"/>
      <c r="U370" s="595"/>
    </row>
    <row r="371" spans="2:23" s="505" customFormat="1" ht="14.1" customHeight="1">
      <c r="B371" s="951"/>
      <c r="C371" s="622" t="s">
        <v>222</v>
      </c>
      <c r="D371" s="623" t="s">
        <v>76</v>
      </c>
      <c r="E371" s="624"/>
      <c r="F371" s="624"/>
      <c r="G371" s="624"/>
      <c r="H371" s="625"/>
      <c r="I371" s="624"/>
      <c r="J371" s="626" t="s">
        <v>226</v>
      </c>
      <c r="K371" s="627">
        <f>SUM(K369:K370)</f>
        <v>1044137.92</v>
      </c>
      <c r="L371" s="620"/>
      <c r="M371" s="626"/>
      <c r="N371" s="635"/>
      <c r="O371" s="631"/>
      <c r="Q371" s="595"/>
      <c r="R371" s="484"/>
      <c r="S371" s="595"/>
      <c r="T371" s="595"/>
      <c r="U371" s="595"/>
    </row>
    <row r="372" spans="2:23">
      <c r="Q372" s="595"/>
      <c r="R372" s="484"/>
      <c r="S372" s="595"/>
      <c r="T372" s="595"/>
      <c r="U372" s="595"/>
    </row>
    <row r="373" spans="2:23" s="485" customFormat="1" ht="14.1" hidden="1" customHeight="1">
      <c r="B373" s="951">
        <f>B352+1</f>
        <v>21</v>
      </c>
      <c r="C373" s="488"/>
      <c r="D373" s="485" t="s">
        <v>562</v>
      </c>
      <c r="H373" s="488"/>
      <c r="K373" s="591" t="s">
        <v>447</v>
      </c>
      <c r="L373" s="591"/>
      <c r="M373" s="591"/>
      <c r="N373" s="591"/>
      <c r="O373" s="485" t="str">
        <f>D374</f>
        <v>m3</v>
      </c>
      <c r="P373" s="636">
        <f>K392</f>
        <v>1232433.78</v>
      </c>
      <c r="Q373" s="593">
        <f>L390</f>
        <v>0.95469784138730074</v>
      </c>
      <c r="R373" s="484">
        <f>N390</f>
        <v>1050537.3800000001</v>
      </c>
      <c r="S373" s="594"/>
      <c r="T373" s="484"/>
      <c r="U373" s="593"/>
    </row>
    <row r="374" spans="2:23" s="485" customFormat="1" ht="14.1" hidden="1" customHeight="1">
      <c r="B374" s="951"/>
      <c r="C374" s="488"/>
      <c r="D374" s="485" t="s">
        <v>68</v>
      </c>
      <c r="H374" s="488"/>
      <c r="Q374" s="595"/>
      <c r="R374" s="484"/>
      <c r="S374" s="595"/>
      <c r="T374" s="595"/>
      <c r="U374" s="595"/>
    </row>
    <row r="375" spans="2:23" s="485" customFormat="1" ht="14.1" hidden="1" customHeight="1">
      <c r="B375" s="951"/>
      <c r="C375" s="596"/>
      <c r="D375" s="977" t="s">
        <v>55</v>
      </c>
      <c r="E375" s="978"/>
      <c r="F375" s="597"/>
      <c r="G375" s="981" t="s">
        <v>56</v>
      </c>
      <c r="H375" s="981" t="s">
        <v>57</v>
      </c>
      <c r="I375" s="596" t="s">
        <v>58</v>
      </c>
      <c r="J375" s="596" t="s">
        <v>59</v>
      </c>
      <c r="K375" s="596" t="s">
        <v>102</v>
      </c>
      <c r="L375" s="596" t="s">
        <v>418</v>
      </c>
      <c r="M375" s="596" t="s">
        <v>419</v>
      </c>
      <c r="N375" s="596" t="s">
        <v>59</v>
      </c>
      <c r="Q375" s="595"/>
      <c r="R375" s="484"/>
      <c r="S375" s="595"/>
      <c r="T375" s="595"/>
      <c r="U375" s="595"/>
    </row>
    <row r="376" spans="2:23" s="485" customFormat="1" ht="14.1" hidden="1" customHeight="1">
      <c r="B376" s="951"/>
      <c r="C376" s="598" t="s">
        <v>227</v>
      </c>
      <c r="D376" s="979"/>
      <c r="E376" s="980"/>
      <c r="F376" s="599"/>
      <c r="G376" s="982"/>
      <c r="H376" s="982"/>
      <c r="I376" s="598" t="s">
        <v>60</v>
      </c>
      <c r="J376" s="598" t="s">
        <v>61</v>
      </c>
      <c r="K376" s="598" t="s">
        <v>61</v>
      </c>
      <c r="L376" s="598" t="s">
        <v>421</v>
      </c>
      <c r="M376" s="598"/>
      <c r="N376" s="598" t="s">
        <v>423</v>
      </c>
      <c r="Q376" s="595"/>
      <c r="R376" s="484"/>
      <c r="S376" s="595"/>
      <c r="T376" s="595"/>
      <c r="U376" s="595"/>
    </row>
    <row r="377" spans="2:23" s="485" customFormat="1" ht="14.1" hidden="1" customHeight="1">
      <c r="B377" s="951"/>
      <c r="C377" s="600"/>
      <c r="D377" s="969"/>
      <c r="E377" s="970"/>
      <c r="F377" s="601"/>
      <c r="G377" s="973"/>
      <c r="H377" s="973"/>
      <c r="I377" s="600" t="s">
        <v>61</v>
      </c>
      <c r="J377" s="602"/>
      <c r="K377" s="602"/>
      <c r="L377" s="602"/>
      <c r="M377" s="602"/>
      <c r="N377" s="600" t="s">
        <v>61</v>
      </c>
      <c r="Q377" s="595"/>
      <c r="R377" s="484"/>
      <c r="S377" s="595"/>
      <c r="T377" s="595"/>
      <c r="U377" s="595"/>
    </row>
    <row r="378" spans="2:23" s="485" customFormat="1" ht="14.1" hidden="1" customHeight="1">
      <c r="B378" s="951"/>
      <c r="C378" s="596" t="s">
        <v>213</v>
      </c>
      <c r="D378" s="603" t="s">
        <v>62</v>
      </c>
      <c r="E378" s="615" t="s">
        <v>75</v>
      </c>
      <c r="F378" s="615"/>
      <c r="G378" s="605" t="s">
        <v>73</v>
      </c>
      <c r="H378" s="616">
        <v>384</v>
      </c>
      <c r="I378" s="632">
        <f>'UPH-TNG'!$I$104</f>
        <v>1425</v>
      </c>
      <c r="J378" s="491">
        <f>ROUND(H378*I378,2)</f>
        <v>547200</v>
      </c>
      <c r="K378" s="492"/>
      <c r="L378" s="501">
        <f>$L$163</f>
        <v>0.90890000000000004</v>
      </c>
      <c r="M378" s="494" t="s">
        <v>429</v>
      </c>
      <c r="N378" s="491">
        <f t="shared" ref="N378:N389" si="24">L378*J378</f>
        <v>497350.08</v>
      </c>
      <c r="Q378" s="595">
        <f>H378/40</f>
        <v>9.6</v>
      </c>
      <c r="R378" s="484"/>
      <c r="S378" s="595"/>
      <c r="T378" s="595"/>
      <c r="U378" s="595"/>
    </row>
    <row r="379" spans="2:23" s="485" customFormat="1" ht="14.1" hidden="1" customHeight="1">
      <c r="B379" s="951"/>
      <c r="C379" s="598"/>
      <c r="D379" s="607"/>
      <c r="E379" s="615" t="s">
        <v>78</v>
      </c>
      <c r="F379" s="615"/>
      <c r="G379" s="605" t="s">
        <v>73</v>
      </c>
      <c r="H379" s="616">
        <v>692</v>
      </c>
      <c r="I379" s="632">
        <f>'UPH-TNG'!$I$106/1400</f>
        <v>200</v>
      </c>
      <c r="J379" s="491">
        <f>ROUND(H379*I379,2)</f>
        <v>138400</v>
      </c>
      <c r="K379" s="496"/>
      <c r="L379" s="501">
        <v>1</v>
      </c>
      <c r="M379" s="494"/>
      <c r="N379" s="491">
        <f t="shared" si="24"/>
        <v>138400</v>
      </c>
      <c r="P379" s="485">
        <v>1400</v>
      </c>
      <c r="Q379" s="595"/>
      <c r="R379" s="484"/>
      <c r="S379" s="595"/>
      <c r="T379" s="595"/>
      <c r="U379" s="595"/>
      <c r="V379" s="486" t="e">
        <f>'UPH-TNG'!#REF!</f>
        <v>#REF!</v>
      </c>
    </row>
    <row r="380" spans="2:23" s="485" customFormat="1" ht="14.1" hidden="1" customHeight="1">
      <c r="B380" s="951"/>
      <c r="C380" s="607"/>
      <c r="D380" s="607"/>
      <c r="E380" s="615" t="s">
        <v>81</v>
      </c>
      <c r="F380" s="615"/>
      <c r="G380" s="605" t="s">
        <v>73</v>
      </c>
      <c r="H380" s="616">
        <v>1039</v>
      </c>
      <c r="I380" s="632">
        <f>'UPH-TNG'!$I$45/1350</f>
        <v>207.40740740740742</v>
      </c>
      <c r="J380" s="491">
        <f>ROUND(H380*I380,2)</f>
        <v>215496.3</v>
      </c>
      <c r="K380" s="496"/>
      <c r="L380" s="501">
        <v>1</v>
      </c>
      <c r="M380" s="494"/>
      <c r="N380" s="491">
        <f t="shared" si="24"/>
        <v>215496.3</v>
      </c>
      <c r="Q380" s="595"/>
      <c r="R380" s="484"/>
      <c r="S380" s="595"/>
      <c r="T380" s="595"/>
      <c r="U380" s="595"/>
      <c r="V380" s="486" t="e">
        <f>V379/P379</f>
        <v>#REF!</v>
      </c>
    </row>
    <row r="381" spans="2:23" s="485" customFormat="1" ht="14.1" hidden="1" customHeight="1">
      <c r="B381" s="951"/>
      <c r="C381" s="607"/>
      <c r="D381" s="607"/>
      <c r="E381" s="615" t="s">
        <v>80</v>
      </c>
      <c r="F381" s="615"/>
      <c r="G381" s="605" t="s">
        <v>141</v>
      </c>
      <c r="H381" s="616">
        <v>215</v>
      </c>
      <c r="I381" s="632">
        <f>'UPH-TNG'!$I$34</f>
        <v>48</v>
      </c>
      <c r="J381" s="491">
        <f>ROUND(H381*I381,2)</f>
        <v>10320</v>
      </c>
      <c r="K381" s="602"/>
      <c r="L381" s="501">
        <v>1</v>
      </c>
      <c r="M381" s="494"/>
      <c r="N381" s="491">
        <f t="shared" si="24"/>
        <v>10320</v>
      </c>
      <c r="P381" s="485">
        <f>P379</f>
        <v>1400</v>
      </c>
      <c r="Q381" s="595"/>
      <c r="R381" s="484"/>
      <c r="S381" s="595"/>
      <c r="T381" s="595"/>
      <c r="U381" s="595"/>
      <c r="V381" s="486">
        <v>260000</v>
      </c>
    </row>
    <row r="382" spans="2:23" s="485" customFormat="1" ht="14.1" hidden="1" customHeight="1">
      <c r="B382" s="951"/>
      <c r="C382" s="600"/>
      <c r="D382" s="607"/>
      <c r="E382" s="612"/>
      <c r="F382" s="613"/>
      <c r="G382" s="610"/>
      <c r="H382" s="614"/>
      <c r="I382" s="633"/>
      <c r="J382" s="495"/>
      <c r="K382" s="491">
        <f>SUM(J378:J381)</f>
        <v>911416.3</v>
      </c>
      <c r="L382" s="501"/>
      <c r="M382" s="494"/>
      <c r="N382" s="491">
        <f t="shared" si="24"/>
        <v>0</v>
      </c>
      <c r="Q382" s="595"/>
      <c r="R382" s="484"/>
      <c r="S382" s="595"/>
      <c r="T382" s="595"/>
      <c r="U382" s="595"/>
      <c r="V382" s="486">
        <f>V381/P381</f>
        <v>185.71428571428572</v>
      </c>
      <c r="W382" s="509"/>
    </row>
    <row r="383" spans="2:23" s="485" customFormat="1" ht="14.1" hidden="1" customHeight="1">
      <c r="B383" s="951"/>
      <c r="C383" s="596" t="s">
        <v>214</v>
      </c>
      <c r="D383" s="603" t="s">
        <v>63</v>
      </c>
      <c r="E383" s="615" t="s">
        <v>69</v>
      </c>
      <c r="F383" s="615"/>
      <c r="G383" s="605" t="s">
        <v>66</v>
      </c>
      <c r="H383" s="616">
        <v>1.65</v>
      </c>
      <c r="I383" s="632">
        <f>'UPH-TNG'!$I$15</f>
        <v>92000</v>
      </c>
      <c r="J383" s="491">
        <f>ROUND(H383*I383,2)</f>
        <v>151800</v>
      </c>
      <c r="K383" s="492"/>
      <c r="L383" s="493">
        <v>1</v>
      </c>
      <c r="M383" s="493" t="s">
        <v>422</v>
      </c>
      <c r="N383" s="491">
        <f t="shared" si="24"/>
        <v>151800</v>
      </c>
      <c r="Q383" s="595"/>
      <c r="R383" s="484"/>
      <c r="S383" s="595"/>
      <c r="T383" s="595"/>
      <c r="U383" s="595"/>
      <c r="V383" s="486"/>
    </row>
    <row r="384" spans="2:23" s="485" customFormat="1" ht="14.1" hidden="1" customHeight="1">
      <c r="B384" s="951"/>
      <c r="C384" s="607"/>
      <c r="D384" s="607"/>
      <c r="E384" s="615" t="s">
        <v>70</v>
      </c>
      <c r="F384" s="615"/>
      <c r="G384" s="605" t="s">
        <v>66</v>
      </c>
      <c r="H384" s="616">
        <v>0.27500000000000002</v>
      </c>
      <c r="I384" s="632">
        <f>'UPH-TNG'!$I$21</f>
        <v>95000</v>
      </c>
      <c r="J384" s="491">
        <f>ROUND(H384*I384,2)</f>
        <v>26125</v>
      </c>
      <c r="K384" s="496"/>
      <c r="L384" s="493">
        <v>1</v>
      </c>
      <c r="M384" s="493" t="s">
        <v>422</v>
      </c>
      <c r="N384" s="491">
        <f t="shared" si="24"/>
        <v>26125</v>
      </c>
      <c r="Q384" s="595"/>
      <c r="R384" s="484"/>
      <c r="S384" s="595"/>
      <c r="T384" s="595"/>
      <c r="U384" s="595"/>
      <c r="V384" s="486"/>
    </row>
    <row r="385" spans="2:22" s="485" customFormat="1" ht="14.1" hidden="1" customHeight="1">
      <c r="B385" s="951"/>
      <c r="C385" s="607"/>
      <c r="D385" s="607"/>
      <c r="E385" s="615" t="s">
        <v>71</v>
      </c>
      <c r="F385" s="615"/>
      <c r="G385" s="605" t="s">
        <v>66</v>
      </c>
      <c r="H385" s="616">
        <v>2.8000000000000001E-2</v>
      </c>
      <c r="I385" s="617">
        <f>'UPH-TNG'!$I$16</f>
        <v>104000</v>
      </c>
      <c r="J385" s="491">
        <f>ROUND(H385*I385,2)</f>
        <v>2912</v>
      </c>
      <c r="K385" s="496"/>
      <c r="L385" s="493">
        <v>1</v>
      </c>
      <c r="M385" s="493" t="s">
        <v>422</v>
      </c>
      <c r="N385" s="491">
        <f t="shared" si="24"/>
        <v>2912</v>
      </c>
      <c r="Q385" s="595"/>
      <c r="R385" s="484"/>
      <c r="S385" s="595"/>
      <c r="T385" s="595"/>
      <c r="U385" s="595"/>
    </row>
    <row r="386" spans="2:22" s="485" customFormat="1" ht="14.1" hidden="1" customHeight="1">
      <c r="B386" s="951"/>
      <c r="C386" s="607"/>
      <c r="D386" s="607"/>
      <c r="E386" s="615" t="s">
        <v>65</v>
      </c>
      <c r="F386" s="615"/>
      <c r="G386" s="605" t="s">
        <v>66</v>
      </c>
      <c r="H386" s="616">
        <v>8.3000000000000004E-2</v>
      </c>
      <c r="I386" s="632">
        <f>'UPH-TNG'!$I$20</f>
        <v>98000</v>
      </c>
      <c r="J386" s="491">
        <f>ROUND(H386*I386,2)</f>
        <v>8134</v>
      </c>
      <c r="K386" s="607"/>
      <c r="L386" s="493">
        <v>1</v>
      </c>
      <c r="M386" s="493" t="s">
        <v>422</v>
      </c>
      <c r="N386" s="491">
        <f t="shared" si="24"/>
        <v>8134</v>
      </c>
      <c r="Q386" s="595"/>
      <c r="R386" s="484"/>
      <c r="S386" s="595"/>
      <c r="T386" s="595"/>
      <c r="U386" s="595"/>
    </row>
    <row r="387" spans="2:22" s="485" customFormat="1" ht="14.1" hidden="1" customHeight="1">
      <c r="B387" s="951"/>
      <c r="C387" s="602"/>
      <c r="D387" s="602"/>
      <c r="E387" s="612"/>
      <c r="F387" s="613"/>
      <c r="G387" s="610"/>
      <c r="H387" s="614"/>
      <c r="I387" s="633"/>
      <c r="J387" s="495"/>
      <c r="K387" s="494">
        <f>SUM(J383:J386)</f>
        <v>188971</v>
      </c>
      <c r="L387" s="501"/>
      <c r="M387" s="494"/>
      <c r="N387" s="491">
        <f t="shared" si="24"/>
        <v>0</v>
      </c>
      <c r="Q387" s="595"/>
      <c r="R387" s="484"/>
      <c r="S387" s="595"/>
      <c r="T387" s="595"/>
      <c r="U387" s="595"/>
    </row>
    <row r="388" spans="2:22" s="485" customFormat="1" ht="14.1" hidden="1" customHeight="1">
      <c r="B388" s="951"/>
      <c r="C388" s="598" t="s">
        <v>215</v>
      </c>
      <c r="D388" s="603" t="s">
        <v>212</v>
      </c>
      <c r="E388" s="615"/>
      <c r="F388" s="615"/>
      <c r="G388" s="605"/>
      <c r="H388" s="616"/>
      <c r="I388" s="617"/>
      <c r="J388" s="491"/>
      <c r="K388" s="492"/>
      <c r="L388" s="501"/>
      <c r="M388" s="494"/>
      <c r="N388" s="491">
        <f t="shared" si="24"/>
        <v>0</v>
      </c>
      <c r="Q388" s="595"/>
      <c r="R388" s="484"/>
      <c r="S388" s="595"/>
      <c r="T388" s="595"/>
      <c r="U388" s="595"/>
    </row>
    <row r="389" spans="2:22" s="485" customFormat="1" ht="14.1" hidden="1" customHeight="1">
      <c r="B389" s="951"/>
      <c r="C389" s="600"/>
      <c r="D389" s="602"/>
      <c r="E389" s="612"/>
      <c r="F389" s="613"/>
      <c r="G389" s="610"/>
      <c r="H389" s="614"/>
      <c r="I389" s="618"/>
      <c r="J389" s="495"/>
      <c r="K389" s="494">
        <f>SUM(J388:J388)</f>
        <v>0</v>
      </c>
      <c r="L389" s="501"/>
      <c r="M389" s="494"/>
      <c r="N389" s="491">
        <f t="shared" si="24"/>
        <v>0</v>
      </c>
      <c r="Q389" s="595"/>
      <c r="R389" s="484"/>
      <c r="S389" s="595"/>
      <c r="T389" s="595"/>
      <c r="U389" s="595"/>
    </row>
    <row r="390" spans="2:22" s="485" customFormat="1" ht="14.1" hidden="1" customHeight="1">
      <c r="B390" s="951"/>
      <c r="C390" s="605" t="s">
        <v>216</v>
      </c>
      <c r="D390" s="619" t="s">
        <v>219</v>
      </c>
      <c r="E390" s="613"/>
      <c r="F390" s="613"/>
      <c r="G390" s="610"/>
      <c r="H390" s="614"/>
      <c r="I390" s="618"/>
      <c r="J390" s="497" t="s">
        <v>220</v>
      </c>
      <c r="K390" s="494">
        <f>K382+K387+K389</f>
        <v>1100387.3</v>
      </c>
      <c r="L390" s="649">
        <f>N390/K390</f>
        <v>0.95469784138730074</v>
      </c>
      <c r="M390" s="497"/>
      <c r="N390" s="498">
        <f>SUM(N378:N389)</f>
        <v>1050537.3800000001</v>
      </c>
      <c r="Q390" s="595"/>
      <c r="R390" s="484"/>
      <c r="S390" s="595"/>
      <c r="T390" s="595"/>
      <c r="U390" s="595"/>
    </row>
    <row r="391" spans="2:22" s="485" customFormat="1" ht="14.1" hidden="1" customHeight="1">
      <c r="B391" s="951"/>
      <c r="C391" s="600" t="s">
        <v>217</v>
      </c>
      <c r="D391" s="619" t="s">
        <v>221</v>
      </c>
      <c r="E391" s="613"/>
      <c r="F391" s="499">
        <f>$F$48</f>
        <v>0.1</v>
      </c>
      <c r="G391" s="605" t="s">
        <v>168</v>
      </c>
      <c r="H391" s="499">
        <f>$H$48</f>
        <v>0.02</v>
      </c>
      <c r="I391" s="621" t="s">
        <v>167</v>
      </c>
      <c r="J391" s="494" t="s">
        <v>216</v>
      </c>
      <c r="K391" s="500">
        <f>ROUND((K390*(F391+H391)),2)</f>
        <v>132046.48000000001</v>
      </c>
      <c r="L391" s="494"/>
      <c r="M391" s="494"/>
      <c r="N391" s="494"/>
      <c r="Q391" s="595"/>
      <c r="R391" s="484"/>
      <c r="S391" s="595"/>
      <c r="T391" s="595"/>
      <c r="U391" s="595"/>
    </row>
    <row r="392" spans="2:22" s="485" customFormat="1" ht="14.1" hidden="1" customHeight="1">
      <c r="B392" s="951"/>
      <c r="C392" s="622" t="s">
        <v>222</v>
      </c>
      <c r="D392" s="623" t="s">
        <v>76</v>
      </c>
      <c r="E392" s="624"/>
      <c r="F392" s="624"/>
      <c r="G392" s="624"/>
      <c r="H392" s="625"/>
      <c r="I392" s="624"/>
      <c r="J392" s="626" t="s">
        <v>226</v>
      </c>
      <c r="K392" s="627">
        <f>SUM(K390:K391)</f>
        <v>1232433.78</v>
      </c>
      <c r="L392" s="620"/>
      <c r="M392" s="626"/>
      <c r="N392" s="635"/>
      <c r="P392" s="485">
        <v>1080754.58</v>
      </c>
      <c r="Q392" s="595"/>
      <c r="R392" s="484"/>
      <c r="S392" s="595"/>
      <c r="T392" s="595"/>
      <c r="U392" s="595"/>
    </row>
    <row r="393" spans="2:22" hidden="1">
      <c r="Q393" s="595"/>
      <c r="R393" s="484"/>
      <c r="S393" s="595"/>
      <c r="T393" s="595"/>
      <c r="U393" s="595"/>
    </row>
    <row r="394" spans="2:22" s="485" customFormat="1" ht="14.1" customHeight="1">
      <c r="B394" s="951">
        <f>B373+1</f>
        <v>22</v>
      </c>
      <c r="C394" s="488"/>
      <c r="D394" s="485" t="s">
        <v>448</v>
      </c>
      <c r="H394" s="488"/>
      <c r="K394" s="591" t="s">
        <v>449</v>
      </c>
      <c r="L394" s="591"/>
      <c r="M394" s="591"/>
      <c r="N394" s="591"/>
      <c r="O394" s="485" t="str">
        <f>D395</f>
        <v>m3</v>
      </c>
      <c r="P394" s="636">
        <f>K413</f>
        <v>1152774.81</v>
      </c>
      <c r="Q394" s="593">
        <f>L411</f>
        <v>0.95888271903857591</v>
      </c>
      <c r="R394" s="484">
        <f>N411</f>
        <v>986942.71499999997</v>
      </c>
      <c r="S394" s="594"/>
      <c r="T394" s="484"/>
      <c r="U394" s="593"/>
    </row>
    <row r="395" spans="2:22" s="485" customFormat="1" ht="14.1" customHeight="1">
      <c r="B395" s="951"/>
      <c r="C395" s="488"/>
      <c r="D395" s="485" t="s">
        <v>68</v>
      </c>
      <c r="H395" s="488"/>
      <c r="Q395" s="595"/>
      <c r="R395" s="484"/>
      <c r="S395" s="595"/>
      <c r="T395" s="595"/>
      <c r="U395" s="595"/>
    </row>
    <row r="396" spans="2:22" s="485" customFormat="1" ht="14.1" customHeight="1">
      <c r="B396" s="951"/>
      <c r="C396" s="596"/>
      <c r="D396" s="977" t="s">
        <v>55</v>
      </c>
      <c r="E396" s="978"/>
      <c r="F396" s="597"/>
      <c r="G396" s="981" t="s">
        <v>56</v>
      </c>
      <c r="H396" s="981" t="s">
        <v>57</v>
      </c>
      <c r="I396" s="596" t="s">
        <v>58</v>
      </c>
      <c r="J396" s="596" t="s">
        <v>59</v>
      </c>
      <c r="K396" s="596" t="s">
        <v>102</v>
      </c>
      <c r="L396" s="596" t="s">
        <v>418</v>
      </c>
      <c r="M396" s="596" t="s">
        <v>419</v>
      </c>
      <c r="N396" s="596" t="s">
        <v>59</v>
      </c>
      <c r="Q396" s="595"/>
      <c r="R396" s="484"/>
      <c r="S396" s="595"/>
      <c r="T396" s="595"/>
      <c r="U396" s="595"/>
    </row>
    <row r="397" spans="2:22" s="485" customFormat="1" ht="14.1" customHeight="1">
      <c r="B397" s="951"/>
      <c r="C397" s="598" t="s">
        <v>227</v>
      </c>
      <c r="D397" s="979"/>
      <c r="E397" s="980"/>
      <c r="F397" s="599"/>
      <c r="G397" s="982"/>
      <c r="H397" s="982"/>
      <c r="I397" s="598" t="s">
        <v>60</v>
      </c>
      <c r="J397" s="598" t="s">
        <v>61</v>
      </c>
      <c r="K397" s="598" t="s">
        <v>61</v>
      </c>
      <c r="L397" s="598" t="s">
        <v>421</v>
      </c>
      <c r="M397" s="598"/>
      <c r="N397" s="598" t="s">
        <v>423</v>
      </c>
      <c r="Q397" s="595"/>
      <c r="R397" s="484"/>
      <c r="S397" s="595"/>
      <c r="T397" s="595"/>
      <c r="U397" s="595"/>
    </row>
    <row r="398" spans="2:22" s="485" customFormat="1" ht="14.1" customHeight="1">
      <c r="B398" s="951"/>
      <c r="C398" s="600"/>
      <c r="D398" s="969"/>
      <c r="E398" s="970"/>
      <c r="F398" s="601"/>
      <c r="G398" s="973"/>
      <c r="H398" s="973"/>
      <c r="I398" s="600" t="s">
        <v>61</v>
      </c>
      <c r="J398" s="602"/>
      <c r="K398" s="602"/>
      <c r="L398" s="602"/>
      <c r="M398" s="602"/>
      <c r="N398" s="600" t="s">
        <v>61</v>
      </c>
      <c r="Q398" s="595"/>
      <c r="R398" s="484"/>
      <c r="S398" s="595"/>
      <c r="T398" s="595"/>
      <c r="U398" s="595"/>
    </row>
    <row r="399" spans="2:22" s="485" customFormat="1" ht="14.1" customHeight="1">
      <c r="B399" s="951"/>
      <c r="C399" s="596" t="s">
        <v>213</v>
      </c>
      <c r="D399" s="603" t="s">
        <v>62</v>
      </c>
      <c r="E399" s="615" t="s">
        <v>75</v>
      </c>
      <c r="F399" s="615"/>
      <c r="G399" s="605" t="s">
        <v>73</v>
      </c>
      <c r="H399" s="616">
        <v>326</v>
      </c>
      <c r="I399" s="632">
        <f>'UPH-TNG'!$I$104</f>
        <v>1425</v>
      </c>
      <c r="J399" s="491">
        <f>ROUND(H399*I399,2)</f>
        <v>464550</v>
      </c>
      <c r="K399" s="492"/>
      <c r="L399" s="501">
        <f>$L$163</f>
        <v>0.90890000000000004</v>
      </c>
      <c r="M399" s="494" t="s">
        <v>429</v>
      </c>
      <c r="N399" s="491">
        <f t="shared" ref="N399:N410" si="25">L399*J399</f>
        <v>422229.495</v>
      </c>
      <c r="Q399" s="595"/>
      <c r="R399" s="484"/>
      <c r="S399" s="595"/>
      <c r="T399" s="595"/>
      <c r="U399" s="595"/>
    </row>
    <row r="400" spans="2:22" s="485" customFormat="1" ht="14.1" customHeight="1">
      <c r="B400" s="951"/>
      <c r="C400" s="598"/>
      <c r="D400" s="607"/>
      <c r="E400" s="615" t="s">
        <v>78</v>
      </c>
      <c r="F400" s="615"/>
      <c r="G400" s="605" t="s">
        <v>73</v>
      </c>
      <c r="H400" s="616">
        <v>760</v>
      </c>
      <c r="I400" s="632">
        <f>'UPH-TNG'!$I$106/1400</f>
        <v>200</v>
      </c>
      <c r="J400" s="491">
        <f>ROUND(H400*I400,2)</f>
        <v>152000</v>
      </c>
      <c r="K400" s="496"/>
      <c r="L400" s="501">
        <v>1</v>
      </c>
      <c r="M400" s="494"/>
      <c r="N400" s="491">
        <f t="shared" si="25"/>
        <v>152000</v>
      </c>
      <c r="P400" s="485">
        <v>1400</v>
      </c>
      <c r="Q400" s="595"/>
      <c r="R400" s="484"/>
      <c r="S400" s="595"/>
      <c r="T400" s="595"/>
      <c r="U400" s="595"/>
      <c r="V400" s="486">
        <f>'UPH-TNG'!I106</f>
        <v>280000</v>
      </c>
    </row>
    <row r="401" spans="2:23" s="485" customFormat="1" ht="14.1" customHeight="1">
      <c r="B401" s="951"/>
      <c r="C401" s="607"/>
      <c r="D401" s="607"/>
      <c r="E401" s="615" t="s">
        <v>81</v>
      </c>
      <c r="F401" s="615"/>
      <c r="G401" s="605" t="s">
        <v>73</v>
      </c>
      <c r="H401" s="616">
        <v>1029</v>
      </c>
      <c r="I401" s="632">
        <f>'UPH-TNG'!$I$45/1350</f>
        <v>207.40740740740742</v>
      </c>
      <c r="J401" s="491">
        <f>ROUND(H401*I401,2)</f>
        <v>213422.22</v>
      </c>
      <c r="K401" s="496"/>
      <c r="L401" s="501">
        <v>1</v>
      </c>
      <c r="M401" s="494"/>
      <c r="N401" s="491">
        <f t="shared" si="25"/>
        <v>213422.22</v>
      </c>
      <c r="Q401" s="595"/>
      <c r="R401" s="484"/>
      <c r="S401" s="595"/>
      <c r="T401" s="595"/>
      <c r="U401" s="595"/>
      <c r="V401" s="486">
        <f>V400/P400</f>
        <v>200</v>
      </c>
    </row>
    <row r="402" spans="2:23" s="485" customFormat="1" ht="14.1" customHeight="1">
      <c r="B402" s="951"/>
      <c r="C402" s="607"/>
      <c r="D402" s="607"/>
      <c r="E402" s="615" t="s">
        <v>80</v>
      </c>
      <c r="F402" s="615"/>
      <c r="G402" s="605" t="s">
        <v>141</v>
      </c>
      <c r="H402" s="616">
        <v>215</v>
      </c>
      <c r="I402" s="632">
        <f>'UPH-TNG'!$I$34</f>
        <v>48</v>
      </c>
      <c r="J402" s="491">
        <f>ROUND(H402*I402,2)</f>
        <v>10320</v>
      </c>
      <c r="K402" s="602"/>
      <c r="L402" s="501">
        <v>1</v>
      </c>
      <c r="M402" s="494"/>
      <c r="N402" s="491">
        <f t="shared" si="25"/>
        <v>10320</v>
      </c>
      <c r="P402" s="485">
        <f>P400</f>
        <v>1400</v>
      </c>
      <c r="Q402" s="595"/>
      <c r="R402" s="484"/>
      <c r="S402" s="595"/>
      <c r="T402" s="595"/>
      <c r="U402" s="595"/>
      <c r="V402" s="486">
        <v>260000</v>
      </c>
    </row>
    <row r="403" spans="2:23" s="485" customFormat="1" ht="14.1" customHeight="1">
      <c r="B403" s="951"/>
      <c r="C403" s="600"/>
      <c r="D403" s="607"/>
      <c r="E403" s="612"/>
      <c r="F403" s="613"/>
      <c r="G403" s="610"/>
      <c r="H403" s="614"/>
      <c r="I403" s="633"/>
      <c r="J403" s="495"/>
      <c r="K403" s="491">
        <f>SUM(J399:J402)</f>
        <v>840292.22</v>
      </c>
      <c r="L403" s="501"/>
      <c r="M403" s="494"/>
      <c r="N403" s="491">
        <f t="shared" si="25"/>
        <v>0</v>
      </c>
      <c r="Q403" s="595"/>
      <c r="R403" s="484"/>
      <c r="S403" s="595"/>
      <c r="T403" s="595"/>
      <c r="U403" s="595"/>
      <c r="V403" s="486">
        <f>V402/P402</f>
        <v>185.71428571428572</v>
      </c>
      <c r="W403" s="509"/>
    </row>
    <row r="404" spans="2:23" s="485" customFormat="1" ht="14.1" customHeight="1">
      <c r="B404" s="951"/>
      <c r="C404" s="596" t="s">
        <v>214</v>
      </c>
      <c r="D404" s="603" t="s">
        <v>63</v>
      </c>
      <c r="E404" s="615" t="s">
        <v>69</v>
      </c>
      <c r="F404" s="615"/>
      <c r="G404" s="605" t="s">
        <v>66</v>
      </c>
      <c r="H404" s="616">
        <v>1.65</v>
      </c>
      <c r="I404" s="632">
        <f>'UPH-TNG'!$I$15</f>
        <v>92000</v>
      </c>
      <c r="J404" s="491">
        <f>ROUND(H404*I404,2)</f>
        <v>151800</v>
      </c>
      <c r="K404" s="492"/>
      <c r="L404" s="493">
        <v>1</v>
      </c>
      <c r="M404" s="493" t="s">
        <v>422</v>
      </c>
      <c r="N404" s="491">
        <f t="shared" si="25"/>
        <v>151800</v>
      </c>
      <c r="Q404" s="595"/>
      <c r="R404" s="484"/>
      <c r="S404" s="595"/>
      <c r="T404" s="595"/>
      <c r="U404" s="595"/>
      <c r="V404" s="486"/>
    </row>
    <row r="405" spans="2:23" s="485" customFormat="1" ht="14.1" customHeight="1">
      <c r="B405" s="951"/>
      <c r="C405" s="607"/>
      <c r="D405" s="607"/>
      <c r="E405" s="615" t="s">
        <v>70</v>
      </c>
      <c r="F405" s="615"/>
      <c r="G405" s="605" t="s">
        <v>66</v>
      </c>
      <c r="H405" s="616">
        <v>0.27500000000000002</v>
      </c>
      <c r="I405" s="632">
        <f>'UPH-TNG'!$I$21</f>
        <v>95000</v>
      </c>
      <c r="J405" s="491">
        <f>ROUND(H405*I405,2)</f>
        <v>26125</v>
      </c>
      <c r="K405" s="496"/>
      <c r="L405" s="493">
        <v>1</v>
      </c>
      <c r="M405" s="493" t="s">
        <v>422</v>
      </c>
      <c r="N405" s="491">
        <f t="shared" si="25"/>
        <v>26125</v>
      </c>
      <c r="Q405" s="595"/>
      <c r="R405" s="484"/>
      <c r="S405" s="595"/>
      <c r="T405" s="595"/>
      <c r="U405" s="595"/>
      <c r="V405" s="486"/>
    </row>
    <row r="406" spans="2:23" s="485" customFormat="1" ht="14.1" customHeight="1">
      <c r="B406" s="951"/>
      <c r="C406" s="607"/>
      <c r="D406" s="607"/>
      <c r="E406" s="615" t="s">
        <v>71</v>
      </c>
      <c r="F406" s="615"/>
      <c r="G406" s="605" t="s">
        <v>66</v>
      </c>
      <c r="H406" s="616">
        <v>2.8000000000000001E-2</v>
      </c>
      <c r="I406" s="617">
        <f>'UPH-TNG'!$I$16</f>
        <v>104000</v>
      </c>
      <c r="J406" s="491">
        <f>ROUND(H406*I406,2)</f>
        <v>2912</v>
      </c>
      <c r="K406" s="496"/>
      <c r="L406" s="493">
        <v>1</v>
      </c>
      <c r="M406" s="493" t="s">
        <v>422</v>
      </c>
      <c r="N406" s="491">
        <f t="shared" si="25"/>
        <v>2912</v>
      </c>
      <c r="Q406" s="595"/>
      <c r="R406" s="484"/>
      <c r="S406" s="595"/>
      <c r="T406" s="595"/>
      <c r="U406" s="595"/>
    </row>
    <row r="407" spans="2:23" s="485" customFormat="1" ht="14.1" customHeight="1">
      <c r="B407" s="951"/>
      <c r="C407" s="607"/>
      <c r="D407" s="607"/>
      <c r="E407" s="615" t="s">
        <v>65</v>
      </c>
      <c r="F407" s="615"/>
      <c r="G407" s="605" t="s">
        <v>66</v>
      </c>
      <c r="H407" s="616">
        <v>8.3000000000000004E-2</v>
      </c>
      <c r="I407" s="632">
        <f>'UPH-TNG'!$I$20</f>
        <v>98000</v>
      </c>
      <c r="J407" s="491">
        <f>ROUND(H407*I407,2)</f>
        <v>8134</v>
      </c>
      <c r="K407" s="607"/>
      <c r="L407" s="493">
        <v>1</v>
      </c>
      <c r="M407" s="493" t="s">
        <v>422</v>
      </c>
      <c r="N407" s="491">
        <f t="shared" si="25"/>
        <v>8134</v>
      </c>
      <c r="Q407" s="595"/>
      <c r="R407" s="484"/>
      <c r="S407" s="595"/>
      <c r="T407" s="595"/>
      <c r="U407" s="595"/>
    </row>
    <row r="408" spans="2:23" s="485" customFormat="1" ht="14.1" customHeight="1">
      <c r="B408" s="951"/>
      <c r="C408" s="602"/>
      <c r="D408" s="602"/>
      <c r="E408" s="612"/>
      <c r="F408" s="613"/>
      <c r="G408" s="610"/>
      <c r="H408" s="614"/>
      <c r="I408" s="633"/>
      <c r="J408" s="495"/>
      <c r="K408" s="494">
        <f>SUM(J404:J407)</f>
        <v>188971</v>
      </c>
      <c r="L408" s="501"/>
      <c r="M408" s="494"/>
      <c r="N408" s="491">
        <f t="shared" si="25"/>
        <v>0</v>
      </c>
      <c r="Q408" s="595"/>
      <c r="R408" s="484"/>
      <c r="S408" s="595"/>
      <c r="T408" s="595"/>
      <c r="U408" s="595"/>
    </row>
    <row r="409" spans="2:23" s="485" customFormat="1" ht="14.1" customHeight="1">
      <c r="B409" s="951"/>
      <c r="C409" s="598" t="s">
        <v>215</v>
      </c>
      <c r="D409" s="603" t="s">
        <v>212</v>
      </c>
      <c r="E409" s="615"/>
      <c r="F409" s="615"/>
      <c r="G409" s="605"/>
      <c r="H409" s="616"/>
      <c r="I409" s="617"/>
      <c r="J409" s="491"/>
      <c r="K409" s="492"/>
      <c r="L409" s="501"/>
      <c r="M409" s="494"/>
      <c r="N409" s="491">
        <f t="shared" si="25"/>
        <v>0</v>
      </c>
      <c r="Q409" s="595"/>
      <c r="R409" s="484"/>
      <c r="S409" s="595"/>
      <c r="T409" s="595"/>
      <c r="U409" s="595"/>
    </row>
    <row r="410" spans="2:23" s="485" customFormat="1" ht="14.1" customHeight="1">
      <c r="B410" s="951"/>
      <c r="C410" s="600"/>
      <c r="D410" s="602"/>
      <c r="E410" s="612"/>
      <c r="F410" s="613"/>
      <c r="G410" s="610"/>
      <c r="H410" s="614"/>
      <c r="I410" s="618"/>
      <c r="J410" s="495"/>
      <c r="K410" s="494">
        <f>SUM(J409:J409)</f>
        <v>0</v>
      </c>
      <c r="L410" s="501"/>
      <c r="M410" s="494"/>
      <c r="N410" s="491">
        <f t="shared" si="25"/>
        <v>0</v>
      </c>
      <c r="Q410" s="595"/>
      <c r="R410" s="484"/>
      <c r="S410" s="595"/>
      <c r="T410" s="595"/>
      <c r="U410" s="595"/>
    </row>
    <row r="411" spans="2:23" s="485" customFormat="1" ht="14.1" customHeight="1">
      <c r="B411" s="951"/>
      <c r="C411" s="605" t="s">
        <v>216</v>
      </c>
      <c r="D411" s="619" t="s">
        <v>219</v>
      </c>
      <c r="E411" s="613"/>
      <c r="F411" s="613"/>
      <c r="G411" s="610"/>
      <c r="H411" s="614"/>
      <c r="I411" s="618"/>
      <c r="J411" s="497" t="s">
        <v>220</v>
      </c>
      <c r="K411" s="494">
        <f>K403+K408+K410</f>
        <v>1029263.22</v>
      </c>
      <c r="L411" s="649">
        <f>N411/K411</f>
        <v>0.95888271903857591</v>
      </c>
      <c r="M411" s="497"/>
      <c r="N411" s="498">
        <f>SUM(N399:N410)</f>
        <v>986942.71499999997</v>
      </c>
      <c r="Q411" s="595"/>
      <c r="R411" s="484"/>
      <c r="S411" s="595"/>
      <c r="T411" s="595"/>
      <c r="U411" s="595"/>
    </row>
    <row r="412" spans="2:23" s="485" customFormat="1" ht="14.1" customHeight="1">
      <c r="B412" s="951"/>
      <c r="C412" s="600" t="s">
        <v>217</v>
      </c>
      <c r="D412" s="619" t="s">
        <v>221</v>
      </c>
      <c r="E412" s="613"/>
      <c r="F412" s="499">
        <f>$F$48</f>
        <v>0.1</v>
      </c>
      <c r="G412" s="605" t="s">
        <v>168</v>
      </c>
      <c r="H412" s="499">
        <f>$H$48</f>
        <v>0.02</v>
      </c>
      <c r="I412" s="621" t="s">
        <v>167</v>
      </c>
      <c r="J412" s="494" t="s">
        <v>216</v>
      </c>
      <c r="K412" s="500">
        <f>ROUND((K411*(F412+H412)),2)</f>
        <v>123511.59</v>
      </c>
      <c r="L412" s="494"/>
      <c r="M412" s="494"/>
      <c r="N412" s="494"/>
      <c r="Q412" s="595"/>
      <c r="R412" s="484"/>
      <c r="S412" s="595"/>
      <c r="T412" s="595"/>
      <c r="U412" s="595"/>
    </row>
    <row r="413" spans="2:23" s="485" customFormat="1" ht="14.1" customHeight="1">
      <c r="B413" s="951"/>
      <c r="C413" s="622" t="s">
        <v>222</v>
      </c>
      <c r="D413" s="623" t="s">
        <v>76</v>
      </c>
      <c r="E413" s="624"/>
      <c r="F413" s="624"/>
      <c r="G413" s="624"/>
      <c r="H413" s="625"/>
      <c r="I413" s="624"/>
      <c r="J413" s="626" t="s">
        <v>226</v>
      </c>
      <c r="K413" s="627">
        <f>SUM(K411:K412)</f>
        <v>1152774.81</v>
      </c>
      <c r="L413" s="620"/>
      <c r="M413" s="626"/>
      <c r="N413" s="635"/>
      <c r="P413" s="485">
        <v>1080754.58</v>
      </c>
      <c r="Q413" s="595"/>
      <c r="R413" s="484"/>
      <c r="S413" s="595"/>
      <c r="T413" s="595"/>
      <c r="U413" s="595"/>
    </row>
    <row r="414" spans="2:23" s="485" customFormat="1" ht="14.1" customHeight="1">
      <c r="B414" s="948"/>
      <c r="H414" s="488"/>
      <c r="K414" s="630"/>
      <c r="L414" s="630"/>
      <c r="M414" s="630"/>
      <c r="N414" s="630"/>
      <c r="Q414" s="595"/>
      <c r="R414" s="484"/>
      <c r="S414" s="595"/>
      <c r="T414" s="595"/>
      <c r="U414" s="595"/>
    </row>
    <row r="415" spans="2:23" s="485" customFormat="1" ht="14.1" hidden="1" customHeight="1">
      <c r="B415" s="951">
        <f>B394+1</f>
        <v>23</v>
      </c>
      <c r="C415" s="488"/>
      <c r="D415" s="485" t="s">
        <v>450</v>
      </c>
      <c r="H415" s="488"/>
      <c r="K415" s="591" t="s">
        <v>242</v>
      </c>
      <c r="L415" s="591"/>
      <c r="M415" s="591"/>
      <c r="N415" s="591"/>
      <c r="O415" s="485" t="str">
        <f>D416</f>
        <v>m3</v>
      </c>
      <c r="P415" s="636">
        <f>K434</f>
        <v>1044137.92</v>
      </c>
      <c r="Q415" s="593">
        <f>L432</f>
        <v>0.96560539320322747</v>
      </c>
      <c r="R415" s="484">
        <f>N432</f>
        <v>900201.07750000001</v>
      </c>
      <c r="S415" s="594"/>
      <c r="T415" s="484"/>
      <c r="U415" s="593"/>
    </row>
    <row r="416" spans="2:23" s="485" customFormat="1" ht="14.1" hidden="1" customHeight="1">
      <c r="B416" s="951"/>
      <c r="C416" s="488"/>
      <c r="D416" s="485" t="s">
        <v>68</v>
      </c>
      <c r="H416" s="488"/>
      <c r="Q416" s="595"/>
      <c r="R416" s="484"/>
      <c r="S416" s="595"/>
      <c r="T416" s="595"/>
      <c r="U416" s="595"/>
    </row>
    <row r="417" spans="2:23" s="485" customFormat="1" ht="14.1" hidden="1" customHeight="1">
      <c r="B417" s="951"/>
      <c r="C417" s="596"/>
      <c r="D417" s="977" t="s">
        <v>55</v>
      </c>
      <c r="E417" s="978"/>
      <c r="F417" s="597"/>
      <c r="G417" s="981" t="s">
        <v>56</v>
      </c>
      <c r="H417" s="981" t="s">
        <v>57</v>
      </c>
      <c r="I417" s="596" t="s">
        <v>58</v>
      </c>
      <c r="J417" s="596" t="s">
        <v>59</v>
      </c>
      <c r="K417" s="596" t="s">
        <v>102</v>
      </c>
      <c r="L417" s="596" t="s">
        <v>418</v>
      </c>
      <c r="M417" s="596" t="s">
        <v>419</v>
      </c>
      <c r="N417" s="596" t="s">
        <v>59</v>
      </c>
      <c r="Q417" s="595"/>
      <c r="R417" s="484"/>
      <c r="S417" s="595"/>
      <c r="T417" s="595"/>
      <c r="U417" s="595"/>
    </row>
    <row r="418" spans="2:23" s="485" customFormat="1" ht="14.1" hidden="1" customHeight="1">
      <c r="B418" s="951"/>
      <c r="C418" s="598" t="s">
        <v>227</v>
      </c>
      <c r="D418" s="979"/>
      <c r="E418" s="980"/>
      <c r="F418" s="599"/>
      <c r="G418" s="982"/>
      <c r="H418" s="982"/>
      <c r="I418" s="598" t="s">
        <v>60</v>
      </c>
      <c r="J418" s="598" t="s">
        <v>61</v>
      </c>
      <c r="K418" s="598" t="s">
        <v>61</v>
      </c>
      <c r="L418" s="598" t="s">
        <v>421</v>
      </c>
      <c r="M418" s="598"/>
      <c r="N418" s="598" t="s">
        <v>423</v>
      </c>
      <c r="Q418" s="595"/>
      <c r="R418" s="484"/>
      <c r="S418" s="595"/>
      <c r="T418" s="595"/>
      <c r="U418" s="595"/>
    </row>
    <row r="419" spans="2:23" s="485" customFormat="1" ht="14.1" hidden="1" customHeight="1">
      <c r="B419" s="951"/>
      <c r="C419" s="600"/>
      <c r="D419" s="969"/>
      <c r="E419" s="970"/>
      <c r="F419" s="601"/>
      <c r="G419" s="973"/>
      <c r="H419" s="973"/>
      <c r="I419" s="600" t="s">
        <v>61</v>
      </c>
      <c r="J419" s="602"/>
      <c r="K419" s="602"/>
      <c r="L419" s="602"/>
      <c r="M419" s="602"/>
      <c r="N419" s="600" t="s">
        <v>61</v>
      </c>
      <c r="Q419" s="595"/>
      <c r="R419" s="484"/>
      <c r="S419" s="595"/>
      <c r="T419" s="595"/>
      <c r="U419" s="595"/>
    </row>
    <row r="420" spans="2:23" s="485" customFormat="1" ht="14.1" hidden="1" customHeight="1">
      <c r="B420" s="951"/>
      <c r="C420" s="596" t="s">
        <v>213</v>
      </c>
      <c r="D420" s="603" t="s">
        <v>62</v>
      </c>
      <c r="E420" s="615" t="s">
        <v>75</v>
      </c>
      <c r="F420" s="615"/>
      <c r="G420" s="605" t="s">
        <v>73</v>
      </c>
      <c r="H420" s="616">
        <v>247</v>
      </c>
      <c r="I420" s="632">
        <f>'UPH-TNG'!$I$104</f>
        <v>1425</v>
      </c>
      <c r="J420" s="491">
        <f>ROUND(H420*I420,2)</f>
        <v>351975</v>
      </c>
      <c r="K420" s="492"/>
      <c r="L420" s="501">
        <f>$L$163</f>
        <v>0.90890000000000004</v>
      </c>
      <c r="M420" s="494" t="s">
        <v>429</v>
      </c>
      <c r="N420" s="491">
        <f t="shared" ref="N420:N431" si="26">L420*J420</f>
        <v>319910.07750000001</v>
      </c>
      <c r="Q420" s="595"/>
      <c r="R420" s="484"/>
      <c r="S420" s="595"/>
      <c r="T420" s="595"/>
      <c r="U420" s="595"/>
    </row>
    <row r="421" spans="2:23" s="485" customFormat="1" ht="14.1" hidden="1" customHeight="1">
      <c r="B421" s="951"/>
      <c r="C421" s="598"/>
      <c r="D421" s="607"/>
      <c r="E421" s="615" t="s">
        <v>78</v>
      </c>
      <c r="F421" s="615"/>
      <c r="G421" s="605" t="s">
        <v>73</v>
      </c>
      <c r="H421" s="616">
        <v>869</v>
      </c>
      <c r="I421" s="632">
        <f>'UPH-TNG'!$I$106/1400</f>
        <v>200</v>
      </c>
      <c r="J421" s="491">
        <f>ROUND(H421*I421,2)</f>
        <v>173800</v>
      </c>
      <c r="K421" s="496"/>
      <c r="L421" s="501">
        <v>1</v>
      </c>
      <c r="M421" s="494"/>
      <c r="N421" s="491">
        <f t="shared" si="26"/>
        <v>173800</v>
      </c>
      <c r="P421" s="485">
        <v>1400</v>
      </c>
      <c r="Q421" s="595"/>
      <c r="R421" s="484"/>
      <c r="S421" s="595"/>
      <c r="T421" s="595"/>
      <c r="U421" s="595"/>
      <c r="V421" s="486">
        <f>'UPH-TNG'!I130</f>
        <v>24000</v>
      </c>
    </row>
    <row r="422" spans="2:23" s="485" customFormat="1" ht="14.1" hidden="1" customHeight="1">
      <c r="B422" s="951"/>
      <c r="C422" s="607"/>
      <c r="D422" s="607"/>
      <c r="E422" s="615" t="s">
        <v>81</v>
      </c>
      <c r="F422" s="615"/>
      <c r="G422" s="605" t="s">
        <v>73</v>
      </c>
      <c r="H422" s="616">
        <v>999</v>
      </c>
      <c r="I422" s="632">
        <f>'UPH-TNG'!$I$45/1350</f>
        <v>207.40740740740742</v>
      </c>
      <c r="J422" s="491">
        <f>ROUND(H422*I422,2)</f>
        <v>207200</v>
      </c>
      <c r="K422" s="496"/>
      <c r="L422" s="501">
        <v>1</v>
      </c>
      <c r="M422" s="494"/>
      <c r="N422" s="491">
        <f t="shared" si="26"/>
        <v>207200</v>
      </c>
      <c r="Q422" s="595"/>
      <c r="R422" s="484"/>
      <c r="S422" s="595"/>
      <c r="T422" s="595"/>
      <c r="U422" s="595"/>
      <c r="V422" s="486">
        <f>V421/P421</f>
        <v>17.142857142857142</v>
      </c>
    </row>
    <row r="423" spans="2:23" s="485" customFormat="1" ht="14.1" hidden="1" customHeight="1">
      <c r="B423" s="951"/>
      <c r="C423" s="607"/>
      <c r="D423" s="607"/>
      <c r="E423" s="615" t="s">
        <v>80</v>
      </c>
      <c r="F423" s="615"/>
      <c r="G423" s="605" t="s">
        <v>141</v>
      </c>
      <c r="H423" s="616">
        <v>215</v>
      </c>
      <c r="I423" s="632">
        <f>'UPH-TNG'!$I$34</f>
        <v>48</v>
      </c>
      <c r="J423" s="491">
        <f>ROUND(H423*I423,2)</f>
        <v>10320</v>
      </c>
      <c r="K423" s="602"/>
      <c r="L423" s="501">
        <v>1</v>
      </c>
      <c r="M423" s="494"/>
      <c r="N423" s="491">
        <f t="shared" si="26"/>
        <v>10320</v>
      </c>
      <c r="P423" s="485">
        <f>P421</f>
        <v>1400</v>
      </c>
      <c r="Q423" s="595"/>
      <c r="R423" s="484"/>
      <c r="S423" s="595"/>
      <c r="T423" s="595"/>
      <c r="U423" s="595"/>
      <c r="V423" s="486">
        <v>260000</v>
      </c>
    </row>
    <row r="424" spans="2:23" s="485" customFormat="1" ht="14.1" hidden="1" customHeight="1">
      <c r="B424" s="951"/>
      <c r="C424" s="600"/>
      <c r="D424" s="607"/>
      <c r="E424" s="612"/>
      <c r="F424" s="613"/>
      <c r="G424" s="610"/>
      <c r="H424" s="614"/>
      <c r="I424" s="633"/>
      <c r="J424" s="495"/>
      <c r="K424" s="491">
        <f>SUM(J420:J423)</f>
        <v>743295</v>
      </c>
      <c r="L424" s="501"/>
      <c r="M424" s="494"/>
      <c r="N424" s="491">
        <f t="shared" si="26"/>
        <v>0</v>
      </c>
      <c r="Q424" s="595"/>
      <c r="R424" s="484"/>
      <c r="S424" s="595"/>
      <c r="T424" s="595"/>
      <c r="U424" s="595"/>
      <c r="V424" s="486">
        <f>V423/P423</f>
        <v>185.71428571428572</v>
      </c>
      <c r="W424" s="509"/>
    </row>
    <row r="425" spans="2:23" s="485" customFormat="1" ht="14.1" hidden="1" customHeight="1">
      <c r="B425" s="951"/>
      <c r="C425" s="596" t="s">
        <v>214</v>
      </c>
      <c r="D425" s="603" t="s">
        <v>63</v>
      </c>
      <c r="E425" s="615" t="s">
        <v>69</v>
      </c>
      <c r="F425" s="615"/>
      <c r="G425" s="605" t="s">
        <v>66</v>
      </c>
      <c r="H425" s="616">
        <v>1.65</v>
      </c>
      <c r="I425" s="632">
        <f>'UPH-TNG'!$I$15</f>
        <v>92000</v>
      </c>
      <c r="J425" s="491">
        <f>ROUND(H425*I425,2)</f>
        <v>151800</v>
      </c>
      <c r="K425" s="492"/>
      <c r="L425" s="493">
        <v>1</v>
      </c>
      <c r="M425" s="493" t="s">
        <v>422</v>
      </c>
      <c r="N425" s="491">
        <f t="shared" si="26"/>
        <v>151800</v>
      </c>
      <c r="Q425" s="595"/>
      <c r="R425" s="484"/>
      <c r="S425" s="595"/>
      <c r="T425" s="595"/>
      <c r="U425" s="595"/>
      <c r="V425" s="486"/>
    </row>
    <row r="426" spans="2:23" s="485" customFormat="1" ht="14.1" hidden="1" customHeight="1">
      <c r="B426" s="951"/>
      <c r="C426" s="607"/>
      <c r="D426" s="607"/>
      <c r="E426" s="615" t="s">
        <v>70</v>
      </c>
      <c r="F426" s="615"/>
      <c r="G426" s="605" t="s">
        <v>66</v>
      </c>
      <c r="H426" s="616">
        <v>0.27500000000000002</v>
      </c>
      <c r="I426" s="632">
        <f>'UPH-TNG'!$I$21</f>
        <v>95000</v>
      </c>
      <c r="J426" s="491">
        <f>ROUND(H426*I426,2)</f>
        <v>26125</v>
      </c>
      <c r="K426" s="496"/>
      <c r="L426" s="493">
        <v>1</v>
      </c>
      <c r="M426" s="493" t="s">
        <v>422</v>
      </c>
      <c r="N426" s="491">
        <f t="shared" si="26"/>
        <v>26125</v>
      </c>
      <c r="Q426" s="595"/>
      <c r="R426" s="484"/>
      <c r="S426" s="595"/>
      <c r="T426" s="595"/>
      <c r="U426" s="595"/>
      <c r="V426" s="486"/>
    </row>
    <row r="427" spans="2:23" s="485" customFormat="1" ht="14.1" hidden="1" customHeight="1">
      <c r="B427" s="951"/>
      <c r="C427" s="607"/>
      <c r="D427" s="607"/>
      <c r="E427" s="615" t="s">
        <v>71</v>
      </c>
      <c r="F427" s="615"/>
      <c r="G427" s="605" t="s">
        <v>66</v>
      </c>
      <c r="H427" s="616">
        <v>2.8000000000000001E-2</v>
      </c>
      <c r="I427" s="617">
        <f>'UPH-TNG'!$I$16</f>
        <v>104000</v>
      </c>
      <c r="J427" s="491">
        <f>ROUND(H427*I427,2)</f>
        <v>2912</v>
      </c>
      <c r="K427" s="496"/>
      <c r="L427" s="493">
        <v>1</v>
      </c>
      <c r="M427" s="493" t="s">
        <v>422</v>
      </c>
      <c r="N427" s="491">
        <f t="shared" si="26"/>
        <v>2912</v>
      </c>
      <c r="Q427" s="595"/>
      <c r="R427" s="484"/>
      <c r="S427" s="595"/>
      <c r="T427" s="595"/>
      <c r="U427" s="595"/>
    </row>
    <row r="428" spans="2:23" s="485" customFormat="1" ht="14.1" hidden="1" customHeight="1">
      <c r="B428" s="951"/>
      <c r="C428" s="607"/>
      <c r="D428" s="607"/>
      <c r="E428" s="615" t="s">
        <v>65</v>
      </c>
      <c r="F428" s="615"/>
      <c r="G428" s="605" t="s">
        <v>66</v>
      </c>
      <c r="H428" s="616">
        <v>8.3000000000000004E-2</v>
      </c>
      <c r="I428" s="632">
        <f>'UPH-TNG'!$I$20</f>
        <v>98000</v>
      </c>
      <c r="J428" s="491">
        <f>ROUND(H428*I428,2)</f>
        <v>8134</v>
      </c>
      <c r="K428" s="607"/>
      <c r="L428" s="493">
        <v>1</v>
      </c>
      <c r="M428" s="493" t="s">
        <v>422</v>
      </c>
      <c r="N428" s="491">
        <f t="shared" si="26"/>
        <v>8134</v>
      </c>
      <c r="Q428" s="595"/>
      <c r="R428" s="484"/>
      <c r="S428" s="595"/>
      <c r="T428" s="595"/>
      <c r="U428" s="595"/>
    </row>
    <row r="429" spans="2:23" s="485" customFormat="1" ht="14.1" hidden="1" customHeight="1">
      <c r="B429" s="951"/>
      <c r="C429" s="602"/>
      <c r="D429" s="602"/>
      <c r="E429" s="612"/>
      <c r="F429" s="613"/>
      <c r="G429" s="610"/>
      <c r="H429" s="614"/>
      <c r="I429" s="633"/>
      <c r="J429" s="495"/>
      <c r="K429" s="494">
        <f>SUM(J425:J428)</f>
        <v>188971</v>
      </c>
      <c r="L429" s="501"/>
      <c r="M429" s="494"/>
      <c r="N429" s="491">
        <f t="shared" si="26"/>
        <v>0</v>
      </c>
      <c r="Q429" s="595"/>
      <c r="R429" s="484"/>
      <c r="S429" s="595"/>
      <c r="T429" s="595"/>
      <c r="U429" s="595"/>
    </row>
    <row r="430" spans="2:23" s="485" customFormat="1" ht="14.1" hidden="1" customHeight="1">
      <c r="B430" s="951"/>
      <c r="C430" s="598" t="s">
        <v>215</v>
      </c>
      <c r="D430" s="603" t="s">
        <v>212</v>
      </c>
      <c r="E430" s="615"/>
      <c r="F430" s="615"/>
      <c r="G430" s="605"/>
      <c r="H430" s="616"/>
      <c r="I430" s="617"/>
      <c r="J430" s="491"/>
      <c r="K430" s="492"/>
      <c r="L430" s="501"/>
      <c r="M430" s="494"/>
      <c r="N430" s="491">
        <f t="shared" si="26"/>
        <v>0</v>
      </c>
      <c r="Q430" s="595"/>
      <c r="R430" s="484"/>
      <c r="S430" s="595"/>
      <c r="T430" s="595"/>
      <c r="U430" s="595"/>
    </row>
    <row r="431" spans="2:23" s="485" customFormat="1" ht="14.1" hidden="1" customHeight="1">
      <c r="B431" s="951"/>
      <c r="C431" s="600"/>
      <c r="D431" s="602"/>
      <c r="E431" s="612"/>
      <c r="F431" s="613"/>
      <c r="G431" s="610"/>
      <c r="H431" s="614"/>
      <c r="I431" s="618"/>
      <c r="J431" s="495"/>
      <c r="K431" s="494">
        <f>SUM(J430:J430)</f>
        <v>0</v>
      </c>
      <c r="L431" s="501"/>
      <c r="M431" s="494"/>
      <c r="N431" s="491">
        <f t="shared" si="26"/>
        <v>0</v>
      </c>
      <c r="Q431" s="595"/>
      <c r="R431" s="484"/>
      <c r="S431" s="595"/>
      <c r="T431" s="595"/>
      <c r="U431" s="595"/>
    </row>
    <row r="432" spans="2:23" s="485" customFormat="1" ht="14.1" hidden="1" customHeight="1">
      <c r="B432" s="951"/>
      <c r="C432" s="605" t="s">
        <v>216</v>
      </c>
      <c r="D432" s="619" t="s">
        <v>219</v>
      </c>
      <c r="E432" s="613"/>
      <c r="F432" s="613"/>
      <c r="G432" s="610"/>
      <c r="H432" s="614"/>
      <c r="I432" s="618"/>
      <c r="J432" s="497" t="s">
        <v>220</v>
      </c>
      <c r="K432" s="494">
        <f>K424+K429+K431</f>
        <v>932266</v>
      </c>
      <c r="L432" s="649">
        <f>N432/K432</f>
        <v>0.96560539320322747</v>
      </c>
      <c r="M432" s="497"/>
      <c r="N432" s="498">
        <f>SUM(N420:N431)</f>
        <v>900201.07750000001</v>
      </c>
      <c r="Q432" s="595"/>
      <c r="R432" s="484"/>
      <c r="S432" s="595"/>
      <c r="T432" s="595"/>
      <c r="U432" s="595"/>
    </row>
    <row r="433" spans="2:21" s="485" customFormat="1" ht="14.1" hidden="1" customHeight="1">
      <c r="B433" s="951"/>
      <c r="C433" s="600" t="s">
        <v>217</v>
      </c>
      <c r="D433" s="619" t="s">
        <v>221</v>
      </c>
      <c r="E433" s="613"/>
      <c r="F433" s="499">
        <f>$F$48</f>
        <v>0.1</v>
      </c>
      <c r="G433" s="605" t="s">
        <v>168</v>
      </c>
      <c r="H433" s="499">
        <f>$H$48</f>
        <v>0.02</v>
      </c>
      <c r="I433" s="621" t="s">
        <v>167</v>
      </c>
      <c r="J433" s="494" t="s">
        <v>216</v>
      </c>
      <c r="K433" s="500">
        <f>ROUND((K432*(F433+H433)),2)</f>
        <v>111871.92</v>
      </c>
      <c r="L433" s="494"/>
      <c r="M433" s="494"/>
      <c r="N433" s="494"/>
      <c r="Q433" s="595"/>
      <c r="R433" s="484"/>
      <c r="S433" s="595"/>
      <c r="T433" s="595"/>
      <c r="U433" s="595"/>
    </row>
    <row r="434" spans="2:21" s="485" customFormat="1" ht="14.1" hidden="1" customHeight="1">
      <c r="B434" s="951"/>
      <c r="C434" s="622" t="s">
        <v>222</v>
      </c>
      <c r="D434" s="623" t="s">
        <v>76</v>
      </c>
      <c r="E434" s="624"/>
      <c r="F434" s="624"/>
      <c r="G434" s="624"/>
      <c r="H434" s="625"/>
      <c r="I434" s="624"/>
      <c r="J434" s="626" t="s">
        <v>226</v>
      </c>
      <c r="K434" s="627">
        <f>SUM(K432:K433)</f>
        <v>1044137.92</v>
      </c>
      <c r="L434" s="620"/>
      <c r="M434" s="626"/>
      <c r="N434" s="635"/>
      <c r="P434" s="485">
        <v>1080754.58</v>
      </c>
      <c r="Q434" s="595"/>
      <c r="R434" s="484"/>
      <c r="S434" s="595"/>
      <c r="T434" s="595"/>
      <c r="U434" s="595"/>
    </row>
    <row r="435" spans="2:21" s="485" customFormat="1" ht="14.1" hidden="1" customHeight="1">
      <c r="B435" s="948"/>
      <c r="H435" s="488"/>
      <c r="K435" s="630"/>
      <c r="L435" s="630"/>
      <c r="M435" s="630"/>
      <c r="N435" s="630"/>
      <c r="Q435" s="595"/>
      <c r="R435" s="484"/>
      <c r="S435" s="595"/>
      <c r="T435" s="595"/>
      <c r="U435" s="595"/>
    </row>
    <row r="436" spans="2:21" s="505" customFormat="1" ht="14.1" customHeight="1">
      <c r="B436" s="951">
        <f>B415+1</f>
        <v>24</v>
      </c>
      <c r="C436" s="488"/>
      <c r="D436" s="485" t="s">
        <v>165</v>
      </c>
      <c r="E436" s="485"/>
      <c r="F436" s="485"/>
      <c r="G436" s="485"/>
      <c r="H436" s="488"/>
      <c r="I436" s="485"/>
      <c r="J436" s="485"/>
      <c r="K436" s="591" t="s">
        <v>243</v>
      </c>
      <c r="L436" s="591"/>
      <c r="M436" s="591"/>
      <c r="N436" s="591"/>
      <c r="O436" s="631" t="str">
        <f>D437</f>
        <v>kg</v>
      </c>
      <c r="P436" s="595">
        <f>K454</f>
        <v>17605.28</v>
      </c>
      <c r="Q436" s="593">
        <f>L451</f>
        <v>0.19980447627075515</v>
      </c>
      <c r="R436" s="484">
        <f>N451</f>
        <v>3517.61375</v>
      </c>
      <c r="S436" s="594"/>
      <c r="T436" s="484"/>
      <c r="U436" s="593"/>
    </row>
    <row r="437" spans="2:21" s="505" customFormat="1" ht="14.1" customHeight="1">
      <c r="B437" s="951"/>
      <c r="C437" s="488"/>
      <c r="D437" s="485" t="s">
        <v>73</v>
      </c>
      <c r="E437" s="485"/>
      <c r="F437" s="485"/>
      <c r="G437" s="485"/>
      <c r="H437" s="488"/>
      <c r="I437" s="485"/>
      <c r="J437" s="485"/>
      <c r="K437" s="485"/>
      <c r="L437" s="485"/>
      <c r="M437" s="485"/>
      <c r="N437" s="485"/>
      <c r="O437" s="631"/>
      <c r="Q437" s="595"/>
      <c r="R437" s="484"/>
      <c r="S437" s="595"/>
      <c r="T437" s="595"/>
      <c r="U437" s="595"/>
    </row>
    <row r="438" spans="2:21" s="505" customFormat="1" ht="14.1" customHeight="1">
      <c r="B438" s="951"/>
      <c r="C438" s="596"/>
      <c r="D438" s="977" t="s">
        <v>55</v>
      </c>
      <c r="E438" s="978"/>
      <c r="F438" s="597"/>
      <c r="G438" s="981" t="s">
        <v>56</v>
      </c>
      <c r="H438" s="981" t="s">
        <v>57</v>
      </c>
      <c r="I438" s="596" t="s">
        <v>58</v>
      </c>
      <c r="J438" s="596" t="s">
        <v>59</v>
      </c>
      <c r="K438" s="596" t="s">
        <v>102</v>
      </c>
      <c r="L438" s="596" t="s">
        <v>418</v>
      </c>
      <c r="M438" s="596" t="s">
        <v>419</v>
      </c>
      <c r="N438" s="596" t="s">
        <v>59</v>
      </c>
      <c r="O438" s="631"/>
      <c r="Q438" s="595"/>
      <c r="R438" s="484"/>
      <c r="S438" s="595"/>
      <c r="T438" s="595"/>
      <c r="U438" s="595"/>
    </row>
    <row r="439" spans="2:21" s="505" customFormat="1" ht="14.1" customHeight="1">
      <c r="B439" s="951"/>
      <c r="C439" s="598" t="s">
        <v>227</v>
      </c>
      <c r="D439" s="979"/>
      <c r="E439" s="980"/>
      <c r="F439" s="599"/>
      <c r="G439" s="982"/>
      <c r="H439" s="982"/>
      <c r="I439" s="598" t="s">
        <v>60</v>
      </c>
      <c r="J439" s="598" t="s">
        <v>61</v>
      </c>
      <c r="K439" s="598" t="s">
        <v>61</v>
      </c>
      <c r="L439" s="598" t="s">
        <v>421</v>
      </c>
      <c r="M439" s="598"/>
      <c r="N439" s="598" t="s">
        <v>423</v>
      </c>
      <c r="O439" s="631"/>
      <c r="Q439" s="595"/>
      <c r="R439" s="484"/>
      <c r="S439" s="595"/>
      <c r="T439" s="595"/>
      <c r="U439" s="595"/>
    </row>
    <row r="440" spans="2:21" s="505" customFormat="1" ht="14.1" customHeight="1">
      <c r="B440" s="951"/>
      <c r="C440" s="600"/>
      <c r="D440" s="969"/>
      <c r="E440" s="970"/>
      <c r="F440" s="601"/>
      <c r="G440" s="973"/>
      <c r="H440" s="973"/>
      <c r="I440" s="600" t="s">
        <v>61</v>
      </c>
      <c r="J440" s="602"/>
      <c r="K440" s="602"/>
      <c r="L440" s="602"/>
      <c r="M440" s="602"/>
      <c r="N440" s="600" t="s">
        <v>61</v>
      </c>
      <c r="O440" s="631"/>
      <c r="Q440" s="595"/>
      <c r="R440" s="484"/>
      <c r="S440" s="595"/>
      <c r="T440" s="595"/>
      <c r="U440" s="595"/>
    </row>
    <row r="441" spans="2:21" s="505" customFormat="1" ht="14.1" customHeight="1">
      <c r="B441" s="951"/>
      <c r="C441" s="596" t="s">
        <v>213</v>
      </c>
      <c r="D441" s="657" t="s">
        <v>62</v>
      </c>
      <c r="E441" s="637" t="s">
        <v>84</v>
      </c>
      <c r="F441" s="646"/>
      <c r="G441" s="600" t="s">
        <v>73</v>
      </c>
      <c r="H441" s="639">
        <v>10.5</v>
      </c>
      <c r="I441" s="632">
        <f>'UPH-TNG'!$I$47</f>
        <v>13250</v>
      </c>
      <c r="J441" s="491">
        <f>ROUND(H441*I441,2)</f>
        <v>139125</v>
      </c>
      <c r="K441" s="492"/>
      <c r="L441" s="501">
        <v>0.1507</v>
      </c>
      <c r="M441" s="494" t="s">
        <v>429</v>
      </c>
      <c r="N441" s="491">
        <f t="shared" ref="N441:N454" si="27">L441*J441</f>
        <v>20966.137500000001</v>
      </c>
      <c r="O441" s="631"/>
      <c r="Q441" s="595" t="s">
        <v>498</v>
      </c>
      <c r="R441" s="484"/>
      <c r="S441" s="595"/>
      <c r="T441" s="595"/>
      <c r="U441" s="595"/>
    </row>
    <row r="442" spans="2:21" s="505" customFormat="1" ht="14.1" customHeight="1">
      <c r="B442" s="951"/>
      <c r="C442" s="607"/>
      <c r="D442" s="607"/>
      <c r="E442" s="615" t="s">
        <v>79</v>
      </c>
      <c r="F442" s="615"/>
      <c r="G442" s="605" t="s">
        <v>73</v>
      </c>
      <c r="H442" s="616">
        <v>0.15</v>
      </c>
      <c r="I442" s="632">
        <f>'UPH-TNG'!$I$72</f>
        <v>25700</v>
      </c>
      <c r="J442" s="491">
        <f>ROUND(H442*I442,2)</f>
        <v>3855</v>
      </c>
      <c r="K442" s="607"/>
      <c r="L442" s="501">
        <v>0</v>
      </c>
      <c r="M442" s="494"/>
      <c r="N442" s="491">
        <f t="shared" si="27"/>
        <v>0</v>
      </c>
      <c r="O442" s="631"/>
      <c r="Q442" s="595"/>
      <c r="R442" s="484"/>
      <c r="S442" s="595"/>
      <c r="T442" s="595"/>
      <c r="U442" s="595"/>
    </row>
    <row r="443" spans="2:21" s="505" customFormat="1" ht="14.1" customHeight="1">
      <c r="B443" s="951"/>
      <c r="C443" s="600"/>
      <c r="D443" s="607"/>
      <c r="E443" s="612"/>
      <c r="F443" s="613"/>
      <c r="G443" s="610"/>
      <c r="H443" s="614"/>
      <c r="I443" s="613"/>
      <c r="J443" s="495"/>
      <c r="K443" s="491">
        <f>SUM(J441:J442)</f>
        <v>142980</v>
      </c>
      <c r="L443" s="501"/>
      <c r="M443" s="494"/>
      <c r="N443" s="491">
        <f t="shared" si="27"/>
        <v>0</v>
      </c>
      <c r="O443" s="631"/>
      <c r="Q443" s="595"/>
      <c r="R443" s="484"/>
      <c r="S443" s="595"/>
      <c r="T443" s="595"/>
      <c r="U443" s="595"/>
    </row>
    <row r="444" spans="2:21" s="505" customFormat="1" ht="14.1" customHeight="1">
      <c r="B444" s="951"/>
      <c r="C444" s="596" t="s">
        <v>214</v>
      </c>
      <c r="D444" s="603" t="s">
        <v>63</v>
      </c>
      <c r="E444" s="615" t="s">
        <v>69</v>
      </c>
      <c r="F444" s="615"/>
      <c r="G444" s="605" t="s">
        <v>66</v>
      </c>
      <c r="H444" s="616">
        <v>7.0000000000000007E-2</v>
      </c>
      <c r="I444" s="632">
        <f>'UPH-TNG'!$I$15</f>
        <v>92000</v>
      </c>
      <c r="J444" s="491">
        <f>ROUND(H444*I444,2)</f>
        <v>6440</v>
      </c>
      <c r="K444" s="496"/>
      <c r="L444" s="493">
        <v>1</v>
      </c>
      <c r="M444" s="493" t="s">
        <v>422</v>
      </c>
      <c r="N444" s="491">
        <f t="shared" si="27"/>
        <v>6440</v>
      </c>
      <c r="O444" s="631"/>
      <c r="Q444" s="595"/>
      <c r="R444" s="484"/>
      <c r="S444" s="595"/>
      <c r="T444" s="595"/>
      <c r="U444" s="595"/>
    </row>
    <row r="445" spans="2:21" s="505" customFormat="1" ht="14.1" customHeight="1">
      <c r="B445" s="951"/>
      <c r="C445" s="598"/>
      <c r="D445" s="607"/>
      <c r="E445" s="615" t="s">
        <v>94</v>
      </c>
      <c r="F445" s="615"/>
      <c r="G445" s="605" t="s">
        <v>66</v>
      </c>
      <c r="H445" s="616">
        <v>7.0000000000000007E-2</v>
      </c>
      <c r="I445" s="632">
        <f>'UPH-TNG'!$I$22</f>
        <v>95000</v>
      </c>
      <c r="J445" s="491">
        <f>ROUND(H445*I445,2)</f>
        <v>6650</v>
      </c>
      <c r="K445" s="496"/>
      <c r="L445" s="493">
        <v>1</v>
      </c>
      <c r="M445" s="493" t="s">
        <v>422</v>
      </c>
      <c r="N445" s="491">
        <f t="shared" si="27"/>
        <v>6650</v>
      </c>
      <c r="O445" s="631"/>
      <c r="Q445" s="595"/>
      <c r="R445" s="484"/>
      <c r="S445" s="595"/>
      <c r="T445" s="595"/>
      <c r="U445" s="595"/>
    </row>
    <row r="446" spans="2:21" s="505" customFormat="1" ht="14.1" customHeight="1">
      <c r="B446" s="951"/>
      <c r="C446" s="598"/>
      <c r="D446" s="607"/>
      <c r="E446" s="615" t="s">
        <v>71</v>
      </c>
      <c r="F446" s="615"/>
      <c r="G446" s="605" t="s">
        <v>66</v>
      </c>
      <c r="H446" s="616">
        <v>7.0000000000000001E-3</v>
      </c>
      <c r="I446" s="617">
        <f>'UPH-TNG'!$I$17</f>
        <v>104000</v>
      </c>
      <c r="J446" s="491">
        <f>ROUND(H446*I446,2)</f>
        <v>728</v>
      </c>
      <c r="K446" s="607"/>
      <c r="L446" s="493">
        <v>1</v>
      </c>
      <c r="M446" s="493" t="s">
        <v>422</v>
      </c>
      <c r="N446" s="491">
        <f t="shared" si="27"/>
        <v>728</v>
      </c>
      <c r="O446" s="631"/>
      <c r="Q446" s="595"/>
      <c r="R446" s="484"/>
      <c r="S446" s="595"/>
      <c r="T446" s="595"/>
      <c r="U446" s="595"/>
    </row>
    <row r="447" spans="2:21" s="505" customFormat="1" ht="14.1" customHeight="1">
      <c r="B447" s="951"/>
      <c r="C447" s="607"/>
      <c r="D447" s="607"/>
      <c r="E447" s="615" t="s">
        <v>65</v>
      </c>
      <c r="F447" s="615"/>
      <c r="G447" s="605" t="s">
        <v>66</v>
      </c>
      <c r="H447" s="616">
        <v>4.0000000000000001E-3</v>
      </c>
      <c r="I447" s="632">
        <f>'UPH-TNG'!$I$20</f>
        <v>98000</v>
      </c>
      <c r="J447" s="491">
        <f>ROUND(H447*I447,2)</f>
        <v>392</v>
      </c>
      <c r="K447" s="607"/>
      <c r="L447" s="493">
        <v>1</v>
      </c>
      <c r="M447" s="493" t="s">
        <v>422</v>
      </c>
      <c r="N447" s="491">
        <f t="shared" si="27"/>
        <v>392</v>
      </c>
      <c r="O447" s="631"/>
      <c r="Q447" s="595"/>
      <c r="R447" s="484"/>
      <c r="S447" s="595"/>
      <c r="T447" s="595"/>
      <c r="U447" s="595"/>
    </row>
    <row r="448" spans="2:21" s="505" customFormat="1" ht="14.1" customHeight="1">
      <c r="B448" s="951"/>
      <c r="C448" s="602"/>
      <c r="D448" s="602"/>
      <c r="E448" s="612"/>
      <c r="F448" s="613"/>
      <c r="G448" s="610"/>
      <c r="H448" s="614"/>
      <c r="I448" s="633"/>
      <c r="J448" s="495"/>
      <c r="K448" s="494">
        <f>SUM(J444:J447)</f>
        <v>14210</v>
      </c>
      <c r="L448" s="501"/>
      <c r="M448" s="494"/>
      <c r="N448" s="491">
        <f t="shared" si="27"/>
        <v>0</v>
      </c>
      <c r="O448" s="631"/>
      <c r="Q448" s="595"/>
      <c r="R448" s="484"/>
      <c r="S448" s="595"/>
      <c r="T448" s="595"/>
      <c r="U448" s="595"/>
    </row>
    <row r="449" spans="2:21" s="505" customFormat="1" ht="14.1" customHeight="1">
      <c r="B449" s="951"/>
      <c r="C449" s="598" t="s">
        <v>215</v>
      </c>
      <c r="D449" s="603" t="s">
        <v>212</v>
      </c>
      <c r="E449" s="615"/>
      <c r="F449" s="615"/>
      <c r="G449" s="605"/>
      <c r="H449" s="616"/>
      <c r="I449" s="617"/>
      <c r="J449" s="491"/>
      <c r="K449" s="492"/>
      <c r="L449" s="501"/>
      <c r="M449" s="494"/>
      <c r="N449" s="491">
        <f t="shared" si="27"/>
        <v>0</v>
      </c>
      <c r="O449" s="631"/>
      <c r="Q449" s="595"/>
      <c r="R449" s="484"/>
      <c r="S449" s="595"/>
      <c r="T449" s="595"/>
      <c r="U449" s="595"/>
    </row>
    <row r="450" spans="2:21" s="505" customFormat="1" ht="14.1" customHeight="1">
      <c r="B450" s="951"/>
      <c r="C450" s="600"/>
      <c r="D450" s="602"/>
      <c r="E450" s="612"/>
      <c r="F450" s="613"/>
      <c r="G450" s="610"/>
      <c r="H450" s="614"/>
      <c r="I450" s="618"/>
      <c r="J450" s="495"/>
      <c r="K450" s="494">
        <f>SUM(J449:J449)</f>
        <v>0</v>
      </c>
      <c r="L450" s="501"/>
      <c r="M450" s="494"/>
      <c r="N450" s="491">
        <f t="shared" si="27"/>
        <v>0</v>
      </c>
      <c r="O450" s="631"/>
      <c r="Q450" s="595"/>
      <c r="R450" s="484"/>
      <c r="S450" s="595"/>
      <c r="T450" s="595"/>
      <c r="U450" s="595"/>
    </row>
    <row r="451" spans="2:21" s="505" customFormat="1" ht="14.1" customHeight="1">
      <c r="B451" s="951"/>
      <c r="C451" s="605" t="s">
        <v>216</v>
      </c>
      <c r="D451" s="619" t="s">
        <v>219</v>
      </c>
      <c r="E451" s="613"/>
      <c r="F451" s="613"/>
      <c r="G451" s="610"/>
      <c r="H451" s="614"/>
      <c r="I451" s="618"/>
      <c r="J451" s="497" t="s">
        <v>220</v>
      </c>
      <c r="K451" s="494">
        <f>K443+K448+K450</f>
        <v>157190</v>
      </c>
      <c r="L451" s="649">
        <f>N451/K454</f>
        <v>0.19980447627075515</v>
      </c>
      <c r="M451" s="497"/>
      <c r="N451" s="498">
        <f>SUM(N439:N450)*H454</f>
        <v>3517.61375</v>
      </c>
      <c r="O451" s="631"/>
      <c r="Q451" s="595"/>
      <c r="R451" s="484"/>
      <c r="S451" s="595"/>
      <c r="T451" s="595"/>
      <c r="U451" s="595"/>
    </row>
    <row r="452" spans="2:21" s="505" customFormat="1" ht="14.1" customHeight="1">
      <c r="B452" s="951"/>
      <c r="C452" s="600" t="s">
        <v>217</v>
      </c>
      <c r="D452" s="619" t="s">
        <v>221</v>
      </c>
      <c r="E452" s="613"/>
      <c r="F452" s="499">
        <f>$F$48</f>
        <v>0.1</v>
      </c>
      <c r="G452" s="605" t="s">
        <v>168</v>
      </c>
      <c r="H452" s="499">
        <f>$H$48</f>
        <v>0.02</v>
      </c>
      <c r="I452" s="621" t="s">
        <v>167</v>
      </c>
      <c r="J452" s="494" t="s">
        <v>216</v>
      </c>
      <c r="K452" s="500">
        <f>ROUND((K451*(F452+H452)),2)</f>
        <v>18862.8</v>
      </c>
      <c r="L452" s="501"/>
      <c r="M452" s="494"/>
      <c r="N452" s="494"/>
      <c r="O452" s="631"/>
      <c r="Q452" s="595"/>
      <c r="R452" s="484"/>
      <c r="S452" s="595"/>
      <c r="T452" s="595"/>
      <c r="U452" s="595"/>
    </row>
    <row r="453" spans="2:21" s="505" customFormat="1" ht="14.1" customHeight="1">
      <c r="B453" s="951"/>
      <c r="C453" s="622" t="s">
        <v>222</v>
      </c>
      <c r="D453" s="623" t="s">
        <v>76</v>
      </c>
      <c r="E453" s="624"/>
      <c r="F453" s="624"/>
      <c r="G453" s="624"/>
      <c r="H453" s="625"/>
      <c r="I453" s="624"/>
      <c r="J453" s="626" t="s">
        <v>226</v>
      </c>
      <c r="K453" s="627">
        <f>SUM(K451:K452)</f>
        <v>176052.8</v>
      </c>
      <c r="L453" s="620"/>
      <c r="M453" s="626"/>
      <c r="N453" s="635"/>
      <c r="O453" s="631"/>
      <c r="Q453" s="595"/>
      <c r="R453" s="484"/>
      <c r="S453" s="595"/>
      <c r="T453" s="595"/>
      <c r="U453" s="595"/>
    </row>
    <row r="454" spans="2:21" s="505" customFormat="1" ht="14.1" customHeight="1">
      <c r="B454" s="948"/>
      <c r="C454" s="623"/>
      <c r="D454" s="624" t="s">
        <v>165</v>
      </c>
      <c r="E454" s="624"/>
      <c r="F454" s="624"/>
      <c r="G454" s="624"/>
      <c r="H454" s="658">
        <v>0.1</v>
      </c>
      <c r="I454" s="659">
        <f>K453</f>
        <v>176052.8</v>
      </c>
      <c r="J454" s="624"/>
      <c r="K454" s="660">
        <f>ROUND(H454*I454,2)</f>
        <v>17605.28</v>
      </c>
      <c r="L454" s="493"/>
      <c r="M454" s="494"/>
      <c r="N454" s="491">
        <f t="shared" si="27"/>
        <v>0</v>
      </c>
      <c r="O454" s="631"/>
      <c r="Q454" s="595"/>
      <c r="R454" s="484"/>
      <c r="S454" s="595"/>
      <c r="T454" s="595"/>
      <c r="U454" s="595"/>
    </row>
    <row r="455" spans="2:21">
      <c r="Q455" s="595"/>
      <c r="R455" s="484"/>
      <c r="S455" s="595"/>
      <c r="T455" s="595"/>
      <c r="U455" s="595"/>
    </row>
    <row r="456" spans="2:21" s="485" customFormat="1" ht="14.1" hidden="1" customHeight="1">
      <c r="B456" s="951">
        <f>B436+1</f>
        <v>25</v>
      </c>
      <c r="C456" s="488"/>
      <c r="D456" s="485" t="s">
        <v>563</v>
      </c>
      <c r="H456" s="488"/>
      <c r="K456" s="591" t="s">
        <v>256</v>
      </c>
      <c r="L456" s="591"/>
      <c r="M456" s="591"/>
      <c r="N456" s="591"/>
      <c r="O456" s="485" t="str">
        <f>D457</f>
        <v>m2</v>
      </c>
      <c r="P456" s="636">
        <f>K475</f>
        <v>134010.23999999999</v>
      </c>
      <c r="Q456" s="593">
        <f>L473</f>
        <v>0.94977100257413161</v>
      </c>
      <c r="R456" s="484">
        <f>N473</f>
        <v>113642</v>
      </c>
      <c r="S456" s="594"/>
      <c r="T456" s="484"/>
      <c r="U456" s="593"/>
    </row>
    <row r="457" spans="2:21" s="485" customFormat="1" ht="14.1" hidden="1" customHeight="1">
      <c r="B457" s="951"/>
      <c r="C457" s="488"/>
      <c r="D457" s="485" t="s">
        <v>100</v>
      </c>
      <c r="H457" s="488"/>
      <c r="Q457" s="595"/>
      <c r="R457" s="484"/>
      <c r="S457" s="595"/>
      <c r="T457" s="595"/>
      <c r="U457" s="595"/>
    </row>
    <row r="458" spans="2:21" s="485" customFormat="1" ht="14.1" hidden="1" customHeight="1">
      <c r="B458" s="951"/>
      <c r="C458" s="488"/>
      <c r="H458" s="488"/>
      <c r="Q458" s="595"/>
      <c r="R458" s="484"/>
      <c r="S458" s="595"/>
      <c r="T458" s="595"/>
      <c r="U458" s="595"/>
    </row>
    <row r="459" spans="2:21" s="485" customFormat="1" ht="14.1" hidden="1" customHeight="1">
      <c r="B459" s="951"/>
      <c r="C459" s="596"/>
      <c r="D459" s="977" t="s">
        <v>55</v>
      </c>
      <c r="E459" s="978"/>
      <c r="F459" s="597"/>
      <c r="G459" s="981" t="s">
        <v>56</v>
      </c>
      <c r="H459" s="981" t="s">
        <v>57</v>
      </c>
      <c r="I459" s="596" t="s">
        <v>58</v>
      </c>
      <c r="J459" s="596" t="s">
        <v>59</v>
      </c>
      <c r="K459" s="596" t="s">
        <v>102</v>
      </c>
      <c r="L459" s="596" t="s">
        <v>418</v>
      </c>
      <c r="M459" s="596" t="s">
        <v>419</v>
      </c>
      <c r="N459" s="596" t="s">
        <v>59</v>
      </c>
      <c r="Q459" s="595"/>
      <c r="R459" s="484"/>
      <c r="S459" s="595"/>
      <c r="T459" s="595"/>
      <c r="U459" s="595"/>
    </row>
    <row r="460" spans="2:21" s="485" customFormat="1" ht="14.1" hidden="1" customHeight="1">
      <c r="B460" s="951"/>
      <c r="C460" s="598" t="s">
        <v>227</v>
      </c>
      <c r="D460" s="979"/>
      <c r="E460" s="980"/>
      <c r="F460" s="599"/>
      <c r="G460" s="982"/>
      <c r="H460" s="982"/>
      <c r="I460" s="598" t="s">
        <v>60</v>
      </c>
      <c r="J460" s="598" t="s">
        <v>61</v>
      </c>
      <c r="K460" s="598" t="s">
        <v>61</v>
      </c>
      <c r="L460" s="598" t="s">
        <v>421</v>
      </c>
      <c r="M460" s="598"/>
      <c r="N460" s="598" t="s">
        <v>423</v>
      </c>
      <c r="Q460" s="595"/>
      <c r="R460" s="484"/>
      <c r="S460" s="595"/>
      <c r="T460" s="595"/>
      <c r="U460" s="595"/>
    </row>
    <row r="461" spans="2:21" s="485" customFormat="1" ht="14.1" hidden="1" customHeight="1">
      <c r="B461" s="951"/>
      <c r="C461" s="600"/>
      <c r="D461" s="969"/>
      <c r="E461" s="970"/>
      <c r="F461" s="601"/>
      <c r="G461" s="973"/>
      <c r="H461" s="973"/>
      <c r="I461" s="600" t="s">
        <v>61</v>
      </c>
      <c r="J461" s="602"/>
      <c r="K461" s="602"/>
      <c r="L461" s="602"/>
      <c r="M461" s="602"/>
      <c r="N461" s="600" t="s">
        <v>61</v>
      </c>
      <c r="Q461" s="595"/>
      <c r="R461" s="484"/>
      <c r="S461" s="595"/>
      <c r="T461" s="595"/>
      <c r="U461" s="595"/>
    </row>
    <row r="462" spans="2:21" s="485" customFormat="1" ht="14.1" hidden="1" customHeight="1">
      <c r="B462" s="951"/>
      <c r="C462" s="596" t="s">
        <v>213</v>
      </c>
      <c r="D462" s="657" t="s">
        <v>62</v>
      </c>
      <c r="E462" s="637" t="s">
        <v>85</v>
      </c>
      <c r="F462" s="646"/>
      <c r="G462" s="600" t="s">
        <v>68</v>
      </c>
      <c r="H462" s="639">
        <f>0.04/2</f>
        <v>0.02</v>
      </c>
      <c r="I462" s="640">
        <f>'UPH-TNG'!$I$74</f>
        <v>1753500</v>
      </c>
      <c r="J462" s="491">
        <f>ROUND(H462*I462,2)</f>
        <v>35070</v>
      </c>
      <c r="K462" s="492"/>
      <c r="L462" s="501">
        <v>1</v>
      </c>
      <c r="M462" s="494"/>
      <c r="N462" s="491">
        <f t="shared" ref="N462:N472" si="28">L462*J462</f>
        <v>35070</v>
      </c>
      <c r="P462" s="485">
        <f>1*1*0.02</f>
        <v>0.02</v>
      </c>
      <c r="Q462" s="595"/>
      <c r="R462" s="484"/>
      <c r="S462" s="595"/>
      <c r="T462" s="595"/>
      <c r="U462" s="595"/>
    </row>
    <row r="463" spans="2:21" s="485" customFormat="1" ht="14.1" hidden="1" customHeight="1">
      <c r="B463" s="951"/>
      <c r="C463" s="607"/>
      <c r="D463" s="657"/>
      <c r="E463" s="637" t="s">
        <v>86</v>
      </c>
      <c r="F463" s="646"/>
      <c r="G463" s="600" t="s">
        <v>73</v>
      </c>
      <c r="H463" s="639">
        <v>0.3</v>
      </c>
      <c r="I463" s="640">
        <f>'UPH-TNG'!$I$103</f>
        <v>17400</v>
      </c>
      <c r="J463" s="491">
        <f>ROUND(H463*I463,2)</f>
        <v>5220</v>
      </c>
      <c r="K463" s="496"/>
      <c r="L463" s="501">
        <f>$L$339</f>
        <v>0</v>
      </c>
      <c r="M463" s="494"/>
      <c r="N463" s="491">
        <f t="shared" si="28"/>
        <v>0</v>
      </c>
      <c r="Q463" s="595"/>
      <c r="R463" s="484"/>
      <c r="S463" s="595"/>
      <c r="T463" s="595"/>
      <c r="U463" s="595"/>
    </row>
    <row r="464" spans="2:21" s="485" customFormat="1" ht="14.1" hidden="1" customHeight="1">
      <c r="B464" s="951"/>
      <c r="C464" s="607"/>
      <c r="D464" s="607"/>
      <c r="E464" s="615" t="s">
        <v>87</v>
      </c>
      <c r="F464" s="615"/>
      <c r="G464" s="605" t="s">
        <v>141</v>
      </c>
      <c r="H464" s="616">
        <v>0.1</v>
      </c>
      <c r="I464" s="617">
        <f>'UPH-TNG'!$I$96</f>
        <v>7900</v>
      </c>
      <c r="J464" s="491">
        <f>ROUND(H464*I464,2)</f>
        <v>790</v>
      </c>
      <c r="K464" s="496"/>
      <c r="L464" s="501">
        <v>0</v>
      </c>
      <c r="M464" s="494"/>
      <c r="N464" s="491">
        <f t="shared" si="28"/>
        <v>0</v>
      </c>
      <c r="Q464" s="595"/>
      <c r="R464" s="484"/>
      <c r="S464" s="595"/>
      <c r="T464" s="595"/>
      <c r="U464" s="595"/>
    </row>
    <row r="465" spans="2:21" s="485" customFormat="1" ht="14.1" hidden="1" customHeight="1">
      <c r="B465" s="951"/>
      <c r="C465" s="600"/>
      <c r="D465" s="607"/>
      <c r="E465" s="612"/>
      <c r="F465" s="613"/>
      <c r="G465" s="610"/>
      <c r="H465" s="614"/>
      <c r="I465" s="618"/>
      <c r="J465" s="495"/>
      <c r="K465" s="491">
        <f>SUM(J462:J464)</f>
        <v>41080</v>
      </c>
      <c r="L465" s="501"/>
      <c r="M465" s="494"/>
      <c r="N465" s="491">
        <f t="shared" si="28"/>
        <v>0</v>
      </c>
      <c r="Q465" s="595"/>
      <c r="R465" s="484"/>
      <c r="S465" s="595"/>
      <c r="T465" s="595"/>
      <c r="U465" s="595"/>
    </row>
    <row r="466" spans="2:21" s="485" customFormat="1" ht="14.1" hidden="1" customHeight="1">
      <c r="B466" s="951"/>
      <c r="C466" s="596" t="s">
        <v>214</v>
      </c>
      <c r="D466" s="603" t="s">
        <v>63</v>
      </c>
      <c r="E466" s="615" t="s">
        <v>69</v>
      </c>
      <c r="F466" s="615"/>
      <c r="G466" s="605" t="s">
        <v>66</v>
      </c>
      <c r="H466" s="616">
        <v>0.52</v>
      </c>
      <c r="I466" s="617">
        <f>'UPH-TNG'!$I$15</f>
        <v>92000</v>
      </c>
      <c r="J466" s="491">
        <f>ROUND(H466*I466,2)</f>
        <v>47840</v>
      </c>
      <c r="K466" s="492"/>
      <c r="L466" s="493">
        <v>1</v>
      </c>
      <c r="M466" s="493" t="s">
        <v>422</v>
      </c>
      <c r="N466" s="491">
        <f t="shared" si="28"/>
        <v>47840</v>
      </c>
      <c r="Q466" s="595"/>
      <c r="R466" s="484"/>
      <c r="S466" s="595"/>
      <c r="T466" s="595"/>
      <c r="U466" s="595"/>
    </row>
    <row r="467" spans="2:21" s="485" customFormat="1" ht="14.1" hidden="1" customHeight="1">
      <c r="B467" s="951"/>
      <c r="C467" s="598"/>
      <c r="D467" s="607"/>
      <c r="E467" s="615" t="s">
        <v>93</v>
      </c>
      <c r="F467" s="615"/>
      <c r="G467" s="605" t="s">
        <v>66</v>
      </c>
      <c r="H467" s="616">
        <v>0.26</v>
      </c>
      <c r="I467" s="617">
        <f>'UPH-TNG'!$I$24</f>
        <v>98000</v>
      </c>
      <c r="J467" s="491">
        <f>ROUND(H467*I467,2)</f>
        <v>25480</v>
      </c>
      <c r="K467" s="496"/>
      <c r="L467" s="493">
        <v>1</v>
      </c>
      <c r="M467" s="493" t="s">
        <v>422</v>
      </c>
      <c r="N467" s="491">
        <f t="shared" si="28"/>
        <v>25480</v>
      </c>
      <c r="Q467" s="595"/>
      <c r="R467" s="484"/>
      <c r="S467" s="595"/>
      <c r="T467" s="595"/>
      <c r="U467" s="595"/>
    </row>
    <row r="468" spans="2:21" s="485" customFormat="1" ht="14.1" hidden="1" customHeight="1">
      <c r="B468" s="951"/>
      <c r="C468" s="607"/>
      <c r="D468" s="607"/>
      <c r="E468" s="615" t="s">
        <v>71</v>
      </c>
      <c r="F468" s="615"/>
      <c r="G468" s="605" t="s">
        <v>66</v>
      </c>
      <c r="H468" s="616">
        <v>2.5999999999999999E-2</v>
      </c>
      <c r="I468" s="617">
        <f>'UPH-TNG'!$I$19</f>
        <v>104000</v>
      </c>
      <c r="J468" s="491">
        <f>ROUND(H468*I468,2)</f>
        <v>2704</v>
      </c>
      <c r="K468" s="496"/>
      <c r="L468" s="493">
        <v>1</v>
      </c>
      <c r="M468" s="493" t="s">
        <v>422</v>
      </c>
      <c r="N468" s="491">
        <f t="shared" si="28"/>
        <v>2704</v>
      </c>
      <c r="Q468" s="595"/>
      <c r="R468" s="484"/>
      <c r="S468" s="595"/>
      <c r="T468" s="595"/>
      <c r="U468" s="595"/>
    </row>
    <row r="469" spans="2:21" s="485" customFormat="1" ht="14.1" hidden="1" customHeight="1">
      <c r="B469" s="951"/>
      <c r="C469" s="607"/>
      <c r="D469" s="607"/>
      <c r="E469" s="615" t="s">
        <v>65</v>
      </c>
      <c r="F469" s="615"/>
      <c r="G469" s="605" t="s">
        <v>66</v>
      </c>
      <c r="H469" s="616">
        <v>2.5999999999999999E-2</v>
      </c>
      <c r="I469" s="617">
        <f>'UPH-TNG'!$I$20</f>
        <v>98000</v>
      </c>
      <c r="J469" s="491">
        <f>ROUND(H469*I469,2)</f>
        <v>2548</v>
      </c>
      <c r="K469" s="607"/>
      <c r="L469" s="493">
        <v>1</v>
      </c>
      <c r="M469" s="493" t="s">
        <v>422</v>
      </c>
      <c r="N469" s="491">
        <f t="shared" si="28"/>
        <v>2548</v>
      </c>
      <c r="Q469" s="595"/>
      <c r="R469" s="484"/>
      <c r="S469" s="595"/>
      <c r="T469" s="595"/>
      <c r="U469" s="595"/>
    </row>
    <row r="470" spans="2:21" s="485" customFormat="1" ht="14.1" hidden="1" customHeight="1">
      <c r="B470" s="951"/>
      <c r="C470" s="602"/>
      <c r="D470" s="602"/>
      <c r="E470" s="612"/>
      <c r="F470" s="613"/>
      <c r="G470" s="610"/>
      <c r="H470" s="614"/>
      <c r="I470" s="618"/>
      <c r="J470" s="495"/>
      <c r="K470" s="494">
        <f>SUM(J466:J469)</f>
        <v>78572</v>
      </c>
      <c r="L470" s="501"/>
      <c r="M470" s="494"/>
      <c r="N470" s="491">
        <f t="shared" si="28"/>
        <v>0</v>
      </c>
      <c r="Q470" s="595"/>
      <c r="R470" s="484"/>
      <c r="S470" s="595"/>
      <c r="T470" s="595"/>
      <c r="U470" s="595"/>
    </row>
    <row r="471" spans="2:21" s="485" customFormat="1" ht="14.1" hidden="1" customHeight="1">
      <c r="B471" s="951"/>
      <c r="C471" s="598" t="s">
        <v>215</v>
      </c>
      <c r="D471" s="603" t="s">
        <v>212</v>
      </c>
      <c r="E471" s="615"/>
      <c r="F471" s="615"/>
      <c r="G471" s="605"/>
      <c r="H471" s="616"/>
      <c r="I471" s="617"/>
      <c r="J471" s="491"/>
      <c r="K471" s="492"/>
      <c r="L471" s="501"/>
      <c r="M471" s="494"/>
      <c r="N471" s="491">
        <f t="shared" si="28"/>
        <v>0</v>
      </c>
      <c r="Q471" s="595"/>
      <c r="R471" s="484"/>
      <c r="S471" s="595"/>
      <c r="T471" s="595"/>
      <c r="U471" s="595"/>
    </row>
    <row r="472" spans="2:21" s="485" customFormat="1" ht="14.1" hidden="1" customHeight="1">
      <c r="B472" s="951"/>
      <c r="C472" s="600"/>
      <c r="D472" s="602"/>
      <c r="E472" s="612"/>
      <c r="F472" s="613"/>
      <c r="G472" s="610"/>
      <c r="H472" s="614"/>
      <c r="I472" s="618"/>
      <c r="J472" s="495"/>
      <c r="K472" s="494">
        <f>SUM(J471:J471)</f>
        <v>0</v>
      </c>
      <c r="L472" s="501"/>
      <c r="M472" s="494"/>
      <c r="N472" s="491">
        <f t="shared" si="28"/>
        <v>0</v>
      </c>
      <c r="Q472" s="595"/>
      <c r="R472" s="484"/>
      <c r="S472" s="595"/>
      <c r="T472" s="595"/>
      <c r="U472" s="595"/>
    </row>
    <row r="473" spans="2:21" s="485" customFormat="1" ht="14.1" hidden="1" customHeight="1">
      <c r="B473" s="951"/>
      <c r="C473" s="605" t="s">
        <v>216</v>
      </c>
      <c r="D473" s="619" t="s">
        <v>219</v>
      </c>
      <c r="E473" s="613"/>
      <c r="F473" s="613"/>
      <c r="G473" s="610"/>
      <c r="H473" s="614"/>
      <c r="I473" s="618"/>
      <c r="J473" s="497" t="s">
        <v>220</v>
      </c>
      <c r="K473" s="494">
        <f>K465+K470+K472</f>
        <v>119652</v>
      </c>
      <c r="L473" s="649">
        <f>N473/K473</f>
        <v>0.94977100257413161</v>
      </c>
      <c r="M473" s="497"/>
      <c r="N473" s="498">
        <f>SUM(N461:N472)</f>
        <v>113642</v>
      </c>
      <c r="Q473" s="595"/>
      <c r="R473" s="484"/>
      <c r="S473" s="595"/>
      <c r="T473" s="595"/>
      <c r="U473" s="595"/>
    </row>
    <row r="474" spans="2:21" s="485" customFormat="1" ht="14.1" hidden="1" customHeight="1">
      <c r="B474" s="951"/>
      <c r="C474" s="600" t="s">
        <v>217</v>
      </c>
      <c r="D474" s="619" t="s">
        <v>221</v>
      </c>
      <c r="E474" s="613"/>
      <c r="F474" s="499">
        <f>$F$48</f>
        <v>0.1</v>
      </c>
      <c r="G474" s="605" t="s">
        <v>168</v>
      </c>
      <c r="H474" s="499">
        <f>$H$48</f>
        <v>0.02</v>
      </c>
      <c r="I474" s="621" t="s">
        <v>167</v>
      </c>
      <c r="J474" s="494" t="s">
        <v>216</v>
      </c>
      <c r="K474" s="500">
        <f>ROUND((K473*(F474+H474)),2)</f>
        <v>14358.24</v>
      </c>
      <c r="L474" s="494"/>
      <c r="M474" s="494"/>
      <c r="N474" s="494"/>
      <c r="Q474" s="595"/>
      <c r="R474" s="484"/>
      <c r="S474" s="595"/>
      <c r="T474" s="595"/>
      <c r="U474" s="595"/>
    </row>
    <row r="475" spans="2:21" s="485" customFormat="1" ht="14.1" hidden="1" customHeight="1">
      <c r="B475" s="951"/>
      <c r="C475" s="622" t="s">
        <v>222</v>
      </c>
      <c r="D475" s="623" t="s">
        <v>76</v>
      </c>
      <c r="E475" s="624"/>
      <c r="F475" s="624"/>
      <c r="G475" s="624"/>
      <c r="H475" s="625"/>
      <c r="I475" s="624"/>
      <c r="J475" s="626" t="s">
        <v>226</v>
      </c>
      <c r="K475" s="627">
        <f>SUM(K473:K474)</f>
        <v>134010.23999999999</v>
      </c>
      <c r="L475" s="620"/>
      <c r="M475" s="626"/>
      <c r="N475" s="635"/>
      <c r="Q475" s="595"/>
      <c r="R475" s="484"/>
      <c r="S475" s="595"/>
      <c r="T475" s="595"/>
      <c r="U475" s="595"/>
    </row>
    <row r="476" spans="2:21" s="485" customFormat="1" ht="14.1" hidden="1" customHeight="1">
      <c r="B476" s="951"/>
      <c r="C476" s="488"/>
      <c r="G476" s="488"/>
      <c r="H476" s="650"/>
      <c r="I476" s="661"/>
      <c r="J476" s="510"/>
      <c r="K476" s="510"/>
      <c r="L476" s="510"/>
      <c r="M476" s="510"/>
      <c r="N476" s="510"/>
      <c r="Q476" s="595"/>
      <c r="R476" s="484"/>
      <c r="S476" s="595"/>
      <c r="T476" s="595"/>
      <c r="U476" s="595"/>
    </row>
    <row r="477" spans="2:21" s="485" customFormat="1" ht="14.1" hidden="1" customHeight="1">
      <c r="B477" s="951">
        <f>B456+1</f>
        <v>26</v>
      </c>
      <c r="C477" s="488"/>
      <c r="D477" s="485" t="s">
        <v>625</v>
      </c>
      <c r="H477" s="488"/>
      <c r="K477" s="591" t="s">
        <v>363</v>
      </c>
      <c r="L477" s="591"/>
      <c r="M477" s="591"/>
      <c r="N477" s="591"/>
      <c r="O477" s="485" t="str">
        <f>D478</f>
        <v>m2</v>
      </c>
      <c r="P477" s="636">
        <f>K496</f>
        <v>138920.04</v>
      </c>
      <c r="Q477" s="593">
        <f>L494</f>
        <v>0.95154622759970409</v>
      </c>
      <c r="R477" s="484">
        <f>N494</f>
        <v>118025.75</v>
      </c>
      <c r="S477" s="594"/>
      <c r="T477" s="484"/>
      <c r="U477" s="593"/>
    </row>
    <row r="478" spans="2:21" s="485" customFormat="1" ht="14.1" hidden="1" customHeight="1">
      <c r="B478" s="951"/>
      <c r="C478" s="488"/>
      <c r="D478" s="485" t="s">
        <v>100</v>
      </c>
      <c r="H478" s="488"/>
      <c r="Q478" s="595"/>
      <c r="R478" s="484"/>
      <c r="S478" s="595"/>
      <c r="T478" s="595"/>
      <c r="U478" s="595"/>
    </row>
    <row r="479" spans="2:21" s="485" customFormat="1" ht="14.1" hidden="1" customHeight="1">
      <c r="B479" s="951"/>
      <c r="C479" s="488"/>
      <c r="H479" s="488"/>
      <c r="Q479" s="595"/>
      <c r="R479" s="484"/>
      <c r="S479" s="595"/>
      <c r="T479" s="595"/>
      <c r="U479" s="595"/>
    </row>
    <row r="480" spans="2:21" s="485" customFormat="1" ht="14.1" hidden="1" customHeight="1">
      <c r="B480" s="951"/>
      <c r="C480" s="596"/>
      <c r="D480" s="977" t="s">
        <v>55</v>
      </c>
      <c r="E480" s="978"/>
      <c r="F480" s="597"/>
      <c r="G480" s="981" t="s">
        <v>56</v>
      </c>
      <c r="H480" s="981" t="s">
        <v>57</v>
      </c>
      <c r="I480" s="596" t="s">
        <v>58</v>
      </c>
      <c r="J480" s="596" t="s">
        <v>59</v>
      </c>
      <c r="K480" s="596" t="s">
        <v>102</v>
      </c>
      <c r="L480" s="596" t="s">
        <v>418</v>
      </c>
      <c r="M480" s="596" t="s">
        <v>419</v>
      </c>
      <c r="N480" s="596" t="s">
        <v>59</v>
      </c>
      <c r="Q480" s="595"/>
      <c r="R480" s="484"/>
      <c r="S480" s="595"/>
      <c r="T480" s="595"/>
      <c r="U480" s="595"/>
    </row>
    <row r="481" spans="2:21" s="485" customFormat="1" ht="14.1" hidden="1" customHeight="1">
      <c r="B481" s="951"/>
      <c r="C481" s="598" t="s">
        <v>227</v>
      </c>
      <c r="D481" s="979"/>
      <c r="E481" s="980"/>
      <c r="F481" s="599"/>
      <c r="G481" s="982"/>
      <c r="H481" s="982"/>
      <c r="I481" s="598" t="s">
        <v>60</v>
      </c>
      <c r="J481" s="598" t="s">
        <v>61</v>
      </c>
      <c r="K481" s="598" t="s">
        <v>61</v>
      </c>
      <c r="L481" s="598" t="s">
        <v>421</v>
      </c>
      <c r="M481" s="598"/>
      <c r="N481" s="598" t="s">
        <v>423</v>
      </c>
      <c r="Q481" s="595"/>
      <c r="R481" s="484"/>
      <c r="S481" s="595"/>
      <c r="T481" s="595"/>
      <c r="U481" s="595"/>
    </row>
    <row r="482" spans="2:21" s="485" customFormat="1" ht="14.1" hidden="1" customHeight="1">
      <c r="B482" s="951"/>
      <c r="C482" s="600"/>
      <c r="D482" s="969"/>
      <c r="E482" s="970"/>
      <c r="F482" s="601"/>
      <c r="G482" s="973"/>
      <c r="H482" s="973"/>
      <c r="I482" s="600" t="s">
        <v>61</v>
      </c>
      <c r="J482" s="602"/>
      <c r="K482" s="602"/>
      <c r="L482" s="602"/>
      <c r="M482" s="602"/>
      <c r="N482" s="600" t="s">
        <v>61</v>
      </c>
      <c r="Q482" s="595"/>
      <c r="R482" s="484"/>
      <c r="S482" s="595"/>
      <c r="T482" s="595"/>
      <c r="U482" s="595"/>
    </row>
    <row r="483" spans="2:21" s="485" customFormat="1" ht="14.1" hidden="1" customHeight="1">
      <c r="B483" s="951"/>
      <c r="C483" s="596" t="s">
        <v>213</v>
      </c>
      <c r="D483" s="657" t="s">
        <v>62</v>
      </c>
      <c r="E483" s="637" t="s">
        <v>85</v>
      </c>
      <c r="F483" s="646"/>
      <c r="G483" s="600" t="s">
        <v>68</v>
      </c>
      <c r="H483" s="639">
        <f>0.045/2</f>
        <v>2.2499999999999999E-2</v>
      </c>
      <c r="I483" s="640">
        <f>'UPH-TNG'!$I$74</f>
        <v>1753500</v>
      </c>
      <c r="J483" s="491">
        <f t="shared" ref="J483:J485" si="29">ROUND(H483*I483,2)</f>
        <v>39453.75</v>
      </c>
      <c r="K483" s="492"/>
      <c r="L483" s="501">
        <v>1</v>
      </c>
      <c r="M483" s="494"/>
      <c r="N483" s="491">
        <f t="shared" ref="N483:N493" si="30">L483*J483</f>
        <v>39453.75</v>
      </c>
      <c r="Q483" s="595"/>
      <c r="R483" s="484"/>
      <c r="S483" s="595"/>
      <c r="T483" s="595"/>
      <c r="U483" s="595"/>
    </row>
    <row r="484" spans="2:21" s="485" customFormat="1" ht="14.1" hidden="1" customHeight="1">
      <c r="B484" s="951"/>
      <c r="C484" s="607"/>
      <c r="D484" s="657"/>
      <c r="E484" s="637" t="s">
        <v>86</v>
      </c>
      <c r="F484" s="646"/>
      <c r="G484" s="600" t="s">
        <v>73</v>
      </c>
      <c r="H484" s="639">
        <v>0.3</v>
      </c>
      <c r="I484" s="640">
        <f>'UPH-TNG'!$I$103</f>
        <v>17400</v>
      </c>
      <c r="J484" s="491">
        <f t="shared" si="29"/>
        <v>5220</v>
      </c>
      <c r="K484" s="496"/>
      <c r="L484" s="501">
        <f>$L$339</f>
        <v>0</v>
      </c>
      <c r="M484" s="494"/>
      <c r="N484" s="491">
        <f t="shared" si="30"/>
        <v>0</v>
      </c>
      <c r="Q484" s="595"/>
      <c r="R484" s="484"/>
      <c r="S484" s="595"/>
      <c r="T484" s="595"/>
      <c r="U484" s="595"/>
    </row>
    <row r="485" spans="2:21" s="485" customFormat="1" ht="14.1" hidden="1" customHeight="1">
      <c r="B485" s="951"/>
      <c r="C485" s="607"/>
      <c r="D485" s="607"/>
      <c r="E485" s="615" t="s">
        <v>87</v>
      </c>
      <c r="F485" s="615"/>
      <c r="G485" s="605" t="s">
        <v>141</v>
      </c>
      <c r="H485" s="616">
        <v>0.1</v>
      </c>
      <c r="I485" s="617">
        <f>'UPH-TNG'!$I$96</f>
        <v>7900</v>
      </c>
      <c r="J485" s="491">
        <f t="shared" si="29"/>
        <v>790</v>
      </c>
      <c r="K485" s="496"/>
      <c r="L485" s="501">
        <f>$L$464</f>
        <v>0</v>
      </c>
      <c r="M485" s="494"/>
      <c r="N485" s="491">
        <f t="shared" si="30"/>
        <v>0</v>
      </c>
      <c r="Q485" s="595"/>
      <c r="R485" s="484"/>
      <c r="S485" s="595"/>
      <c r="T485" s="595"/>
      <c r="U485" s="595"/>
    </row>
    <row r="486" spans="2:21" s="485" customFormat="1" ht="14.1" hidden="1" customHeight="1">
      <c r="B486" s="951"/>
      <c r="C486" s="600"/>
      <c r="D486" s="607"/>
      <c r="E486" s="615"/>
      <c r="F486" s="615"/>
      <c r="G486" s="605"/>
      <c r="H486" s="616"/>
      <c r="I486" s="615"/>
      <c r="J486" s="491"/>
      <c r="K486" s="491">
        <f>SUM(J483:J485)</f>
        <v>45463.75</v>
      </c>
      <c r="L486" s="501"/>
      <c r="M486" s="494"/>
      <c r="N486" s="491">
        <f t="shared" si="30"/>
        <v>0</v>
      </c>
      <c r="Q486" s="595"/>
      <c r="R486" s="484"/>
      <c r="S486" s="595"/>
      <c r="T486" s="595"/>
      <c r="U486" s="595"/>
    </row>
    <row r="487" spans="2:21" s="485" customFormat="1" ht="14.1" hidden="1" customHeight="1">
      <c r="B487" s="951"/>
      <c r="C487" s="596" t="s">
        <v>214</v>
      </c>
      <c r="D487" s="603" t="s">
        <v>63</v>
      </c>
      <c r="E487" s="615" t="s">
        <v>69</v>
      </c>
      <c r="F487" s="615"/>
      <c r="G487" s="605" t="s">
        <v>66</v>
      </c>
      <c r="H487" s="616">
        <v>0.52</v>
      </c>
      <c r="I487" s="632">
        <f>'UPH-TNG'!$I$15</f>
        <v>92000</v>
      </c>
      <c r="J487" s="491">
        <f>ROUND(H487*I487,2)</f>
        <v>47840</v>
      </c>
      <c r="K487" s="496"/>
      <c r="L487" s="493">
        <v>1</v>
      </c>
      <c r="M487" s="493" t="s">
        <v>422</v>
      </c>
      <c r="N487" s="491">
        <f t="shared" si="30"/>
        <v>47840</v>
      </c>
      <c r="Q487" s="595"/>
      <c r="R487" s="484"/>
      <c r="S487" s="595"/>
      <c r="T487" s="595"/>
      <c r="U487" s="595"/>
    </row>
    <row r="488" spans="2:21" s="485" customFormat="1" ht="14.1" hidden="1" customHeight="1">
      <c r="B488" s="951"/>
      <c r="C488" s="607"/>
      <c r="D488" s="607"/>
      <c r="E488" s="615" t="s">
        <v>93</v>
      </c>
      <c r="F488" s="615"/>
      <c r="G488" s="605" t="s">
        <v>66</v>
      </c>
      <c r="H488" s="616">
        <v>0.26</v>
      </c>
      <c r="I488" s="632">
        <f>'UPH-TNG'!$I$24</f>
        <v>98000</v>
      </c>
      <c r="J488" s="491">
        <f>ROUND(H488*I488,2)</f>
        <v>25480</v>
      </c>
      <c r="K488" s="496"/>
      <c r="L488" s="493">
        <v>1</v>
      </c>
      <c r="M488" s="493" t="s">
        <v>422</v>
      </c>
      <c r="N488" s="491">
        <f t="shared" si="30"/>
        <v>25480</v>
      </c>
      <c r="Q488" s="595"/>
      <c r="R488" s="484"/>
      <c r="S488" s="595"/>
      <c r="T488" s="595"/>
      <c r="U488" s="595"/>
    </row>
    <row r="489" spans="2:21" s="485" customFormat="1" ht="14.1" hidden="1" customHeight="1">
      <c r="B489" s="951"/>
      <c r="C489" s="598"/>
      <c r="D489" s="607"/>
      <c r="E489" s="615" t="s">
        <v>71</v>
      </c>
      <c r="F489" s="615"/>
      <c r="G489" s="605" t="s">
        <v>66</v>
      </c>
      <c r="H489" s="616">
        <v>2.5999999999999999E-2</v>
      </c>
      <c r="I489" s="617">
        <f>'UPH-TNG'!$I$19</f>
        <v>104000</v>
      </c>
      <c r="J489" s="491">
        <f>ROUND(H489*I489,2)</f>
        <v>2704</v>
      </c>
      <c r="K489" s="607"/>
      <c r="L489" s="493">
        <v>1</v>
      </c>
      <c r="M489" s="493" t="s">
        <v>422</v>
      </c>
      <c r="N489" s="491">
        <f t="shared" si="30"/>
        <v>2704</v>
      </c>
      <c r="Q489" s="595"/>
      <c r="R489" s="484"/>
      <c r="S489" s="595"/>
      <c r="T489" s="595"/>
      <c r="U489" s="595"/>
    </row>
    <row r="490" spans="2:21" s="485" customFormat="1" ht="14.1" hidden="1" customHeight="1">
      <c r="B490" s="951"/>
      <c r="C490" s="598"/>
      <c r="D490" s="607"/>
      <c r="E490" s="615" t="s">
        <v>65</v>
      </c>
      <c r="F490" s="615"/>
      <c r="G490" s="605" t="s">
        <v>66</v>
      </c>
      <c r="H490" s="616">
        <v>2.5999999999999999E-2</v>
      </c>
      <c r="I490" s="632">
        <f>'UPH-TNG'!$I$20</f>
        <v>98000</v>
      </c>
      <c r="J490" s="491">
        <f>ROUND(H490*I490,2)</f>
        <v>2548</v>
      </c>
      <c r="K490" s="607"/>
      <c r="L490" s="493">
        <v>1</v>
      </c>
      <c r="M490" s="493" t="s">
        <v>422</v>
      </c>
      <c r="N490" s="491">
        <f t="shared" si="30"/>
        <v>2548</v>
      </c>
      <c r="Q490" s="595"/>
      <c r="R490" s="484"/>
      <c r="S490" s="595"/>
      <c r="T490" s="595"/>
      <c r="U490" s="595"/>
    </row>
    <row r="491" spans="2:21" s="485" customFormat="1" ht="14.1" hidden="1" customHeight="1">
      <c r="B491" s="951"/>
      <c r="C491" s="602"/>
      <c r="D491" s="602"/>
      <c r="E491" s="613"/>
      <c r="F491" s="613"/>
      <c r="G491" s="610"/>
      <c r="H491" s="614"/>
      <c r="I491" s="644"/>
      <c r="J491" s="491"/>
      <c r="K491" s="494">
        <f>SUM(J487:J490)</f>
        <v>78572</v>
      </c>
      <c r="L491" s="501"/>
      <c r="M491" s="494"/>
      <c r="N491" s="491">
        <f t="shared" si="30"/>
        <v>0</v>
      </c>
      <c r="Q491" s="595"/>
      <c r="R491" s="484"/>
      <c r="S491" s="595"/>
      <c r="T491" s="595"/>
      <c r="U491" s="595"/>
    </row>
    <row r="492" spans="2:21" s="485" customFormat="1" ht="14.1" hidden="1" customHeight="1">
      <c r="B492" s="951"/>
      <c r="C492" s="598" t="s">
        <v>215</v>
      </c>
      <c r="D492" s="603" t="s">
        <v>212</v>
      </c>
      <c r="E492" s="615"/>
      <c r="F492" s="615"/>
      <c r="G492" s="605"/>
      <c r="H492" s="616"/>
      <c r="I492" s="617"/>
      <c r="J492" s="491"/>
      <c r="K492" s="492"/>
      <c r="L492" s="501"/>
      <c r="M492" s="494"/>
      <c r="N492" s="491">
        <f t="shared" si="30"/>
        <v>0</v>
      </c>
      <c r="Q492" s="595"/>
      <c r="R492" s="484"/>
      <c r="S492" s="595"/>
      <c r="T492" s="595"/>
      <c r="U492" s="595"/>
    </row>
    <row r="493" spans="2:21" s="485" customFormat="1" ht="14.1" hidden="1" customHeight="1">
      <c r="B493" s="951"/>
      <c r="C493" s="600"/>
      <c r="D493" s="602"/>
      <c r="E493" s="613"/>
      <c r="F493" s="613"/>
      <c r="G493" s="610"/>
      <c r="H493" s="614"/>
      <c r="I493" s="662"/>
      <c r="J493" s="491"/>
      <c r="K493" s="494">
        <f>SUM(J492:J492)</f>
        <v>0</v>
      </c>
      <c r="L493" s="501"/>
      <c r="M493" s="494"/>
      <c r="N493" s="491">
        <f t="shared" si="30"/>
        <v>0</v>
      </c>
      <c r="Q493" s="595"/>
      <c r="R493" s="484"/>
      <c r="S493" s="595"/>
      <c r="T493" s="595"/>
      <c r="U493" s="595"/>
    </row>
    <row r="494" spans="2:21" s="485" customFormat="1" ht="14.1" hidden="1" customHeight="1">
      <c r="B494" s="951"/>
      <c r="C494" s="605" t="s">
        <v>216</v>
      </c>
      <c r="D494" s="619" t="s">
        <v>219</v>
      </c>
      <c r="E494" s="613"/>
      <c r="F494" s="613"/>
      <c r="G494" s="610"/>
      <c r="H494" s="614"/>
      <c r="I494" s="618"/>
      <c r="J494" s="497" t="s">
        <v>220</v>
      </c>
      <c r="K494" s="494">
        <f>K486+K491+K493</f>
        <v>124035.75</v>
      </c>
      <c r="L494" s="649">
        <f>N494/K494</f>
        <v>0.95154622759970409</v>
      </c>
      <c r="M494" s="497"/>
      <c r="N494" s="498">
        <f>SUM(N482:N493)</f>
        <v>118025.75</v>
      </c>
      <c r="Q494" s="595"/>
      <c r="R494" s="484"/>
      <c r="S494" s="595"/>
      <c r="T494" s="595"/>
      <c r="U494" s="595"/>
    </row>
    <row r="495" spans="2:21" s="485" customFormat="1" ht="14.1" hidden="1" customHeight="1">
      <c r="B495" s="951"/>
      <c r="C495" s="600" t="s">
        <v>217</v>
      </c>
      <c r="D495" s="619" t="s">
        <v>221</v>
      </c>
      <c r="E495" s="613"/>
      <c r="F495" s="499">
        <f>$F$48</f>
        <v>0.1</v>
      </c>
      <c r="G495" s="605" t="s">
        <v>168</v>
      </c>
      <c r="H495" s="499">
        <f>$H$48</f>
        <v>0.02</v>
      </c>
      <c r="I495" s="621" t="s">
        <v>167</v>
      </c>
      <c r="J495" s="494" t="s">
        <v>216</v>
      </c>
      <c r="K495" s="500">
        <f>ROUND((K494*(F495+H495)),2)</f>
        <v>14884.29</v>
      </c>
      <c r="L495" s="501"/>
      <c r="M495" s="494"/>
      <c r="N495" s="494"/>
      <c r="Q495" s="595"/>
      <c r="R495" s="484"/>
      <c r="S495" s="595"/>
      <c r="T495" s="595"/>
      <c r="U495" s="595"/>
    </row>
    <row r="496" spans="2:21" s="485" customFormat="1" ht="14.1" hidden="1" customHeight="1">
      <c r="B496" s="951"/>
      <c r="C496" s="622" t="s">
        <v>222</v>
      </c>
      <c r="D496" s="623" t="s">
        <v>76</v>
      </c>
      <c r="E496" s="624"/>
      <c r="F496" s="624"/>
      <c r="G496" s="624"/>
      <c r="H496" s="625"/>
      <c r="I496" s="624"/>
      <c r="J496" s="626" t="s">
        <v>226</v>
      </c>
      <c r="K496" s="627">
        <f>SUM(K494:K495)</f>
        <v>138920.04</v>
      </c>
      <c r="L496" s="649"/>
      <c r="M496" s="626"/>
      <c r="N496" s="635"/>
      <c r="Q496" s="595"/>
      <c r="R496" s="484"/>
      <c r="S496" s="595"/>
      <c r="T496" s="595"/>
      <c r="U496" s="595"/>
    </row>
    <row r="497" spans="2:21" hidden="1">
      <c r="Q497" s="595"/>
      <c r="R497" s="484"/>
      <c r="S497" s="595"/>
      <c r="T497" s="595"/>
      <c r="U497" s="595"/>
    </row>
    <row r="498" spans="2:21" s="485" customFormat="1" ht="14.1" hidden="1" customHeight="1">
      <c r="B498" s="951">
        <f>B477+1</f>
        <v>27</v>
      </c>
      <c r="C498" s="488"/>
      <c r="D498" s="485" t="s">
        <v>681</v>
      </c>
      <c r="H498" s="488"/>
      <c r="K498" s="591" t="s">
        <v>290</v>
      </c>
      <c r="L498" s="591"/>
      <c r="M498" s="591"/>
      <c r="N498" s="591"/>
      <c r="O498" s="485" t="str">
        <f>D499</f>
        <v>m2</v>
      </c>
      <c r="P498" s="636">
        <f>K521</f>
        <v>182096.32</v>
      </c>
      <c r="Q498" s="593">
        <f>L519</f>
        <v>0.82907507411462245</v>
      </c>
      <c r="R498" s="484">
        <f>N519</f>
        <v>134796</v>
      </c>
      <c r="S498" s="594"/>
      <c r="T498" s="484"/>
      <c r="U498" s="593"/>
    </row>
    <row r="499" spans="2:21" s="485" customFormat="1" ht="14.1" hidden="1" customHeight="1">
      <c r="B499" s="951"/>
      <c r="C499" s="488"/>
      <c r="D499" s="485" t="s">
        <v>100</v>
      </c>
      <c r="H499" s="488"/>
      <c r="Q499" s="595"/>
      <c r="R499" s="484"/>
      <c r="S499" s="595"/>
      <c r="T499" s="595"/>
      <c r="U499" s="595"/>
    </row>
    <row r="500" spans="2:21" s="485" customFormat="1" ht="14.1" hidden="1" customHeight="1">
      <c r="B500" s="951"/>
      <c r="C500" s="488"/>
      <c r="H500" s="488"/>
      <c r="Q500" s="595"/>
      <c r="R500" s="484"/>
      <c r="S500" s="595"/>
      <c r="T500" s="595"/>
      <c r="U500" s="595"/>
    </row>
    <row r="501" spans="2:21" s="485" customFormat="1" ht="14.1" hidden="1" customHeight="1">
      <c r="B501" s="951"/>
      <c r="C501" s="596"/>
      <c r="D501" s="977" t="s">
        <v>55</v>
      </c>
      <c r="E501" s="978"/>
      <c r="F501" s="597"/>
      <c r="G501" s="981" t="s">
        <v>56</v>
      </c>
      <c r="H501" s="981" t="s">
        <v>57</v>
      </c>
      <c r="I501" s="596" t="s">
        <v>58</v>
      </c>
      <c r="J501" s="596" t="s">
        <v>59</v>
      </c>
      <c r="K501" s="596" t="s">
        <v>102</v>
      </c>
      <c r="L501" s="596" t="s">
        <v>418</v>
      </c>
      <c r="M501" s="596" t="s">
        <v>419</v>
      </c>
      <c r="N501" s="596" t="s">
        <v>59</v>
      </c>
      <c r="Q501" s="595"/>
      <c r="R501" s="484"/>
      <c r="S501" s="595"/>
      <c r="T501" s="595"/>
      <c r="U501" s="595"/>
    </row>
    <row r="502" spans="2:21" s="485" customFormat="1" ht="14.1" hidden="1" customHeight="1">
      <c r="B502" s="951"/>
      <c r="C502" s="598" t="s">
        <v>227</v>
      </c>
      <c r="D502" s="979"/>
      <c r="E502" s="980"/>
      <c r="F502" s="599"/>
      <c r="G502" s="982"/>
      <c r="H502" s="982"/>
      <c r="I502" s="598" t="s">
        <v>60</v>
      </c>
      <c r="J502" s="598" t="s">
        <v>61</v>
      </c>
      <c r="K502" s="598" t="s">
        <v>61</v>
      </c>
      <c r="L502" s="598" t="s">
        <v>421</v>
      </c>
      <c r="M502" s="598"/>
      <c r="N502" s="598" t="s">
        <v>423</v>
      </c>
      <c r="Q502" s="595"/>
      <c r="R502" s="484"/>
      <c r="S502" s="595"/>
      <c r="T502" s="595"/>
      <c r="U502" s="595"/>
    </row>
    <row r="503" spans="2:21" s="485" customFormat="1" ht="14.1" hidden="1" customHeight="1">
      <c r="B503" s="951"/>
      <c r="C503" s="600"/>
      <c r="D503" s="969"/>
      <c r="E503" s="970"/>
      <c r="F503" s="601"/>
      <c r="G503" s="973"/>
      <c r="H503" s="973"/>
      <c r="I503" s="600" t="s">
        <v>61</v>
      </c>
      <c r="J503" s="602"/>
      <c r="K503" s="602"/>
      <c r="L503" s="602"/>
      <c r="M503" s="602"/>
      <c r="N503" s="600" t="s">
        <v>61</v>
      </c>
      <c r="Q503" s="595"/>
      <c r="R503" s="484"/>
      <c r="S503" s="595"/>
      <c r="T503" s="595"/>
      <c r="U503" s="595"/>
    </row>
    <row r="504" spans="2:21" s="485" customFormat="1" ht="14.1" hidden="1" customHeight="1">
      <c r="B504" s="951"/>
      <c r="C504" s="596" t="s">
        <v>213</v>
      </c>
      <c r="D504" s="657" t="s">
        <v>62</v>
      </c>
      <c r="E504" s="637" t="s">
        <v>85</v>
      </c>
      <c r="F504" s="646"/>
      <c r="G504" s="600" t="s">
        <v>68</v>
      </c>
      <c r="H504" s="639">
        <f>0.04/2</f>
        <v>0.02</v>
      </c>
      <c r="I504" s="640">
        <f>'UPH-TNG'!I$74</f>
        <v>1753500</v>
      </c>
      <c r="J504" s="491">
        <f t="shared" ref="J504:J509" si="31">ROUND(H504*I504,2)</f>
        <v>35070</v>
      </c>
      <c r="K504" s="492"/>
      <c r="L504" s="501">
        <v>1</v>
      </c>
      <c r="M504" s="494"/>
      <c r="N504" s="491">
        <f t="shared" ref="N504:N518" si="32">L504*J504</f>
        <v>35070</v>
      </c>
      <c r="Q504" s="595"/>
      <c r="R504" s="484"/>
      <c r="S504" s="595"/>
      <c r="T504" s="595"/>
      <c r="U504" s="595"/>
    </row>
    <row r="505" spans="2:21" s="485" customFormat="1" ht="14.1" hidden="1" customHeight="1">
      <c r="B505" s="951"/>
      <c r="C505" s="607"/>
      <c r="D505" s="657"/>
      <c r="E505" s="637" t="s">
        <v>92</v>
      </c>
      <c r="F505" s="646"/>
      <c r="G505" s="600" t="s">
        <v>73</v>
      </c>
      <c r="H505" s="639">
        <v>0.4</v>
      </c>
      <c r="I505" s="640">
        <f>'UPH-TNG'!I$103</f>
        <v>17400</v>
      </c>
      <c r="J505" s="491">
        <f t="shared" si="31"/>
        <v>6960</v>
      </c>
      <c r="K505" s="496"/>
      <c r="L505" s="501">
        <f>$L$339</f>
        <v>0</v>
      </c>
      <c r="M505" s="494"/>
      <c r="N505" s="491">
        <f t="shared" si="32"/>
        <v>0</v>
      </c>
      <c r="Q505" s="595"/>
      <c r="R505" s="484"/>
      <c r="S505" s="595"/>
      <c r="T505" s="595"/>
      <c r="U505" s="595"/>
    </row>
    <row r="506" spans="2:21" s="485" customFormat="1" ht="14.1" hidden="1" customHeight="1">
      <c r="B506" s="951"/>
      <c r="C506" s="607"/>
      <c r="D506" s="607"/>
      <c r="E506" s="615" t="s">
        <v>87</v>
      </c>
      <c r="F506" s="615"/>
      <c r="G506" s="605" t="s">
        <v>141</v>
      </c>
      <c r="H506" s="616">
        <v>0.2</v>
      </c>
      <c r="I506" s="617">
        <f>'UPH-TNG'!I$96</f>
        <v>7900</v>
      </c>
      <c r="J506" s="491">
        <f t="shared" si="31"/>
        <v>1580</v>
      </c>
      <c r="K506" s="496"/>
      <c r="L506" s="501">
        <f>$L$464</f>
        <v>0</v>
      </c>
      <c r="M506" s="494"/>
      <c r="N506" s="491">
        <f t="shared" si="32"/>
        <v>0</v>
      </c>
      <c r="Q506" s="595"/>
      <c r="R506" s="484"/>
      <c r="S506" s="595"/>
      <c r="T506" s="595"/>
      <c r="U506" s="595"/>
    </row>
    <row r="507" spans="2:21" s="485" customFormat="1" ht="14.1" hidden="1" customHeight="1">
      <c r="B507" s="951"/>
      <c r="C507" s="607"/>
      <c r="D507" s="607"/>
      <c r="E507" s="615" t="s">
        <v>88</v>
      </c>
      <c r="F507" s="615"/>
      <c r="G507" s="605" t="s">
        <v>68</v>
      </c>
      <c r="H507" s="616">
        <f>0.015/2</f>
        <v>7.4999999999999997E-3</v>
      </c>
      <c r="I507" s="617"/>
      <c r="J507" s="491">
        <f t="shared" si="31"/>
        <v>0</v>
      </c>
      <c r="K507" s="607"/>
      <c r="L507" s="501">
        <v>1</v>
      </c>
      <c r="M507" s="494"/>
      <c r="N507" s="491">
        <f t="shared" si="32"/>
        <v>0</v>
      </c>
      <c r="Q507" s="595"/>
      <c r="R507" s="484"/>
      <c r="S507" s="595"/>
      <c r="T507" s="595"/>
      <c r="U507" s="595"/>
    </row>
    <row r="508" spans="2:21" s="485" customFormat="1" ht="14.1" hidden="1" customHeight="1">
      <c r="B508" s="951"/>
      <c r="C508" s="607"/>
      <c r="D508" s="607"/>
      <c r="E508" s="615" t="s">
        <v>89</v>
      </c>
      <c r="F508" s="615"/>
      <c r="G508" s="605" t="s">
        <v>53</v>
      </c>
      <c r="H508" s="616">
        <f>0.35/2</f>
        <v>0.17499999999999999</v>
      </c>
      <c r="I508" s="617">
        <f>'UPH-TNG'!I$99</f>
        <v>110000</v>
      </c>
      <c r="J508" s="491">
        <f t="shared" si="31"/>
        <v>19250</v>
      </c>
      <c r="K508" s="607"/>
      <c r="L508" s="501">
        <v>0</v>
      </c>
      <c r="M508" s="494"/>
      <c r="N508" s="491">
        <f t="shared" si="32"/>
        <v>0</v>
      </c>
      <c r="Q508" s="595"/>
      <c r="R508" s="484"/>
      <c r="S508" s="595"/>
      <c r="T508" s="595"/>
      <c r="U508" s="595"/>
    </row>
    <row r="509" spans="2:21" s="485" customFormat="1" ht="14.1" hidden="1" customHeight="1">
      <c r="B509" s="951"/>
      <c r="C509" s="598"/>
      <c r="D509" s="607"/>
      <c r="E509" s="615" t="s">
        <v>90</v>
      </c>
      <c r="F509" s="615"/>
      <c r="G509" s="605" t="s">
        <v>50</v>
      </c>
      <c r="H509" s="616">
        <f>2/2</f>
        <v>1</v>
      </c>
      <c r="I509" s="617"/>
      <c r="J509" s="491">
        <f t="shared" si="31"/>
        <v>0</v>
      </c>
      <c r="K509" s="607"/>
      <c r="L509" s="501">
        <v>1</v>
      </c>
      <c r="M509" s="494"/>
      <c r="N509" s="491">
        <f t="shared" si="32"/>
        <v>0</v>
      </c>
      <c r="Q509" s="595"/>
      <c r="R509" s="484"/>
      <c r="S509" s="595"/>
      <c r="T509" s="595"/>
      <c r="U509" s="595"/>
    </row>
    <row r="510" spans="2:21" s="485" customFormat="1" ht="14.1" hidden="1" customHeight="1">
      <c r="B510" s="951"/>
      <c r="C510" s="607"/>
      <c r="D510" s="607"/>
      <c r="E510" s="615" t="s">
        <v>164</v>
      </c>
      <c r="F510" s="615"/>
      <c r="G510" s="605"/>
      <c r="H510" s="616"/>
      <c r="I510" s="615"/>
      <c r="J510" s="491"/>
      <c r="K510" s="511"/>
      <c r="L510" s="501"/>
      <c r="M510" s="494"/>
      <c r="N510" s="491">
        <f t="shared" si="32"/>
        <v>0</v>
      </c>
      <c r="Q510" s="595"/>
      <c r="R510" s="484"/>
      <c r="S510" s="595"/>
      <c r="T510" s="595"/>
      <c r="U510" s="595"/>
    </row>
    <row r="511" spans="2:21" s="485" customFormat="1" ht="14.1" hidden="1" customHeight="1">
      <c r="B511" s="951"/>
      <c r="C511" s="600"/>
      <c r="D511" s="607"/>
      <c r="E511" s="615"/>
      <c r="F511" s="615"/>
      <c r="G511" s="605"/>
      <c r="H511" s="616"/>
      <c r="I511" s="615"/>
      <c r="J511" s="491"/>
      <c r="K511" s="491">
        <f>SUM(J504:J510)</f>
        <v>62860</v>
      </c>
      <c r="L511" s="501"/>
      <c r="M511" s="494"/>
      <c r="N511" s="491">
        <f t="shared" si="32"/>
        <v>0</v>
      </c>
      <c r="Q511" s="595"/>
      <c r="R511" s="484"/>
      <c r="S511" s="595"/>
      <c r="T511" s="595"/>
      <c r="U511" s="595"/>
    </row>
    <row r="512" spans="2:21" s="485" customFormat="1" ht="14.1" hidden="1" customHeight="1">
      <c r="B512" s="951"/>
      <c r="C512" s="596" t="s">
        <v>214</v>
      </c>
      <c r="D512" s="603" t="s">
        <v>63</v>
      </c>
      <c r="E512" s="615" t="s">
        <v>69</v>
      </c>
      <c r="F512" s="615"/>
      <c r="G512" s="605" t="s">
        <v>66</v>
      </c>
      <c r="H512" s="616">
        <v>0.66</v>
      </c>
      <c r="I512" s="632">
        <f>'UPH-TNG'!I$15</f>
        <v>92000</v>
      </c>
      <c r="J512" s="491">
        <f>ROUND(H512*I512,2)</f>
        <v>60720</v>
      </c>
      <c r="K512" s="496"/>
      <c r="L512" s="493">
        <v>1</v>
      </c>
      <c r="M512" s="493" t="s">
        <v>422</v>
      </c>
      <c r="N512" s="491">
        <f t="shared" si="32"/>
        <v>60720</v>
      </c>
      <c r="Q512" s="595"/>
      <c r="R512" s="484"/>
      <c r="S512" s="595"/>
      <c r="T512" s="595"/>
      <c r="U512" s="595"/>
    </row>
    <row r="513" spans="2:21" s="485" customFormat="1" ht="14.1" hidden="1" customHeight="1">
      <c r="B513" s="951"/>
      <c r="C513" s="607"/>
      <c r="D513" s="607"/>
      <c r="E513" s="615" t="s">
        <v>93</v>
      </c>
      <c r="F513" s="615"/>
      <c r="G513" s="605" t="s">
        <v>66</v>
      </c>
      <c r="H513" s="616">
        <v>0.33</v>
      </c>
      <c r="I513" s="632">
        <f>'UPH-TNG'!I$24</f>
        <v>98000</v>
      </c>
      <c r="J513" s="491">
        <f>ROUND(H513*I513,2)</f>
        <v>32340</v>
      </c>
      <c r="K513" s="496"/>
      <c r="L513" s="493">
        <v>1</v>
      </c>
      <c r="M513" s="493" t="s">
        <v>422</v>
      </c>
      <c r="N513" s="491">
        <f t="shared" si="32"/>
        <v>32340</v>
      </c>
      <c r="Q513" s="595"/>
      <c r="R513" s="484"/>
      <c r="S513" s="595"/>
      <c r="T513" s="595"/>
      <c r="U513" s="595"/>
    </row>
    <row r="514" spans="2:21" s="485" customFormat="1" ht="14.1" hidden="1" customHeight="1">
      <c r="B514" s="951"/>
      <c r="C514" s="598"/>
      <c r="D514" s="607"/>
      <c r="E514" s="615" t="s">
        <v>71</v>
      </c>
      <c r="F514" s="615"/>
      <c r="G514" s="605" t="s">
        <v>66</v>
      </c>
      <c r="H514" s="616">
        <v>3.3000000000000002E-2</v>
      </c>
      <c r="I514" s="617">
        <f>'UPH-TNG'!I$19</f>
        <v>104000</v>
      </c>
      <c r="J514" s="491">
        <f>ROUND(H514*I514,2)</f>
        <v>3432</v>
      </c>
      <c r="K514" s="607"/>
      <c r="L514" s="493">
        <v>1</v>
      </c>
      <c r="M514" s="493" t="s">
        <v>422</v>
      </c>
      <c r="N514" s="491">
        <f t="shared" si="32"/>
        <v>3432</v>
      </c>
      <c r="Q514" s="595"/>
      <c r="R514" s="484"/>
      <c r="S514" s="595"/>
      <c r="T514" s="595"/>
      <c r="U514" s="595"/>
    </row>
    <row r="515" spans="2:21" s="485" customFormat="1" ht="14.1" hidden="1" customHeight="1">
      <c r="B515" s="951"/>
      <c r="C515" s="598"/>
      <c r="D515" s="607"/>
      <c r="E515" s="615" t="s">
        <v>65</v>
      </c>
      <c r="F515" s="615"/>
      <c r="G515" s="605" t="s">
        <v>66</v>
      </c>
      <c r="H515" s="616">
        <v>3.3000000000000002E-2</v>
      </c>
      <c r="I515" s="632">
        <f>'UPH-TNG'!I$20</f>
        <v>98000</v>
      </c>
      <c r="J515" s="491">
        <f>ROUND(H515*I515,2)</f>
        <v>3234</v>
      </c>
      <c r="K515" s="607"/>
      <c r="L515" s="493">
        <v>1</v>
      </c>
      <c r="M515" s="493" t="s">
        <v>422</v>
      </c>
      <c r="N515" s="491">
        <f t="shared" si="32"/>
        <v>3234</v>
      </c>
      <c r="Q515" s="595"/>
      <c r="R515" s="484"/>
      <c r="S515" s="595"/>
      <c r="T515" s="595"/>
      <c r="U515" s="595"/>
    </row>
    <row r="516" spans="2:21" s="485" customFormat="1" ht="14.1" hidden="1" customHeight="1">
      <c r="B516" s="951"/>
      <c r="C516" s="602"/>
      <c r="D516" s="602"/>
      <c r="E516" s="613"/>
      <c r="F516" s="613"/>
      <c r="G516" s="610"/>
      <c r="H516" s="614"/>
      <c r="I516" s="644"/>
      <c r="J516" s="491"/>
      <c r="K516" s="494">
        <f>SUM(J512:J515)</f>
        <v>99726</v>
      </c>
      <c r="L516" s="501"/>
      <c r="M516" s="494"/>
      <c r="N516" s="491">
        <f t="shared" si="32"/>
        <v>0</v>
      </c>
      <c r="Q516" s="595"/>
      <c r="R516" s="484"/>
      <c r="S516" s="595"/>
      <c r="T516" s="595"/>
      <c r="U516" s="595"/>
    </row>
    <row r="517" spans="2:21" s="485" customFormat="1" ht="14.1" hidden="1" customHeight="1">
      <c r="B517" s="951"/>
      <c r="C517" s="598" t="s">
        <v>215</v>
      </c>
      <c r="D517" s="603" t="s">
        <v>212</v>
      </c>
      <c r="E517" s="615"/>
      <c r="F517" s="615"/>
      <c r="G517" s="605"/>
      <c r="H517" s="616"/>
      <c r="I517" s="617"/>
      <c r="J517" s="491"/>
      <c r="K517" s="492"/>
      <c r="L517" s="501"/>
      <c r="M517" s="494"/>
      <c r="N517" s="491">
        <f t="shared" si="32"/>
        <v>0</v>
      </c>
      <c r="Q517" s="595"/>
      <c r="R517" s="484"/>
      <c r="S517" s="595"/>
      <c r="T517" s="595"/>
      <c r="U517" s="595"/>
    </row>
    <row r="518" spans="2:21" s="485" customFormat="1" ht="14.1" hidden="1" customHeight="1">
      <c r="B518" s="951"/>
      <c r="C518" s="600"/>
      <c r="D518" s="602"/>
      <c r="E518" s="613"/>
      <c r="F518" s="613"/>
      <c r="G518" s="610"/>
      <c r="H518" s="614"/>
      <c r="I518" s="662"/>
      <c r="J518" s="491"/>
      <c r="K518" s="494">
        <f>SUM(J517:J517)</f>
        <v>0</v>
      </c>
      <c r="L518" s="501"/>
      <c r="M518" s="494"/>
      <c r="N518" s="491">
        <f t="shared" si="32"/>
        <v>0</v>
      </c>
      <c r="Q518" s="595"/>
      <c r="R518" s="484"/>
      <c r="S518" s="595"/>
      <c r="T518" s="595"/>
      <c r="U518" s="595"/>
    </row>
    <row r="519" spans="2:21" s="485" customFormat="1" ht="14.1" hidden="1" customHeight="1">
      <c r="B519" s="951"/>
      <c r="C519" s="605" t="s">
        <v>216</v>
      </c>
      <c r="D519" s="619" t="s">
        <v>219</v>
      </c>
      <c r="E519" s="613"/>
      <c r="F519" s="613"/>
      <c r="G519" s="610"/>
      <c r="H519" s="614"/>
      <c r="I519" s="618"/>
      <c r="J519" s="497" t="s">
        <v>220</v>
      </c>
      <c r="K519" s="494">
        <f>K511+K516+K518</f>
        <v>162586</v>
      </c>
      <c r="L519" s="649">
        <f>N519/K519</f>
        <v>0.82907507411462245</v>
      </c>
      <c r="M519" s="497"/>
      <c r="N519" s="498">
        <f>SUM(N504:N518)</f>
        <v>134796</v>
      </c>
      <c r="Q519" s="595"/>
      <c r="R519" s="484"/>
      <c r="S519" s="595"/>
      <c r="T519" s="595"/>
      <c r="U519" s="595"/>
    </row>
    <row r="520" spans="2:21" s="485" customFormat="1" ht="14.1" hidden="1" customHeight="1">
      <c r="B520" s="951"/>
      <c r="C520" s="600" t="s">
        <v>217</v>
      </c>
      <c r="D520" s="619" t="s">
        <v>221</v>
      </c>
      <c r="E520" s="613"/>
      <c r="F520" s="499">
        <f>$F$48</f>
        <v>0.1</v>
      </c>
      <c r="G520" s="605" t="s">
        <v>168</v>
      </c>
      <c r="H520" s="499">
        <f>$H$48</f>
        <v>0.02</v>
      </c>
      <c r="I520" s="621" t="s">
        <v>167</v>
      </c>
      <c r="J520" s="494" t="s">
        <v>216</v>
      </c>
      <c r="K520" s="500">
        <f>ROUND((K519*(F520+H520)),2)</f>
        <v>19510.32</v>
      </c>
      <c r="L520" s="494"/>
      <c r="M520" s="494"/>
      <c r="N520" s="494"/>
      <c r="Q520" s="595"/>
      <c r="R520" s="484"/>
      <c r="S520" s="595"/>
      <c r="T520" s="595"/>
      <c r="U520" s="595"/>
    </row>
    <row r="521" spans="2:21" s="485" customFormat="1" ht="14.1" hidden="1" customHeight="1">
      <c r="B521" s="951"/>
      <c r="C521" s="622" t="s">
        <v>222</v>
      </c>
      <c r="D521" s="623" t="s">
        <v>76</v>
      </c>
      <c r="E521" s="624"/>
      <c r="F521" s="624"/>
      <c r="G521" s="624"/>
      <c r="H521" s="625"/>
      <c r="I521" s="624"/>
      <c r="J521" s="626" t="s">
        <v>226</v>
      </c>
      <c r="K521" s="627">
        <f>SUM(K519:K520)</f>
        <v>182096.32</v>
      </c>
      <c r="L521" s="620"/>
      <c r="M521" s="626"/>
      <c r="N521" s="635"/>
      <c r="Q521" s="595"/>
      <c r="R521" s="484"/>
      <c r="S521" s="595"/>
      <c r="T521" s="595"/>
      <c r="U521" s="595"/>
    </row>
    <row r="522" spans="2:21" hidden="1">
      <c r="Q522" s="595"/>
      <c r="R522" s="484"/>
      <c r="S522" s="595"/>
      <c r="T522" s="595"/>
      <c r="U522" s="595"/>
    </row>
    <row r="523" spans="2:21" s="485" customFormat="1" ht="14.1" hidden="1" customHeight="1">
      <c r="B523" s="951">
        <f>B498+1</f>
        <v>28</v>
      </c>
      <c r="C523" s="488"/>
      <c r="D523" s="485" t="s">
        <v>493</v>
      </c>
      <c r="H523" s="488"/>
      <c r="K523" s="591" t="s">
        <v>291</v>
      </c>
      <c r="L523" s="591"/>
      <c r="M523" s="591"/>
      <c r="N523" s="591"/>
      <c r="O523" s="485" t="str">
        <f>D524</f>
        <v>m2</v>
      </c>
      <c r="P523" s="636">
        <f>K546</f>
        <v>278647.03999999998</v>
      </c>
      <c r="Q523" s="593">
        <f>L544</f>
        <v>0.81092639634714947</v>
      </c>
      <c r="R523" s="484">
        <f>N544</f>
        <v>201752</v>
      </c>
      <c r="S523" s="594"/>
      <c r="T523" s="484"/>
      <c r="U523" s="593"/>
    </row>
    <row r="524" spans="2:21" s="485" customFormat="1" ht="14.1" hidden="1" customHeight="1">
      <c r="B524" s="951"/>
      <c r="C524" s="488"/>
      <c r="D524" s="485" t="s">
        <v>100</v>
      </c>
      <c r="H524" s="488"/>
      <c r="Q524" s="595"/>
      <c r="R524" s="484"/>
      <c r="S524" s="595"/>
      <c r="T524" s="595"/>
      <c r="U524" s="595"/>
    </row>
    <row r="525" spans="2:21" s="485" customFormat="1" ht="14.1" hidden="1" customHeight="1">
      <c r="B525" s="951"/>
      <c r="C525" s="488"/>
      <c r="H525" s="488"/>
      <c r="Q525" s="595"/>
      <c r="R525" s="484"/>
      <c r="S525" s="595"/>
      <c r="T525" s="595"/>
      <c r="U525" s="595"/>
    </row>
    <row r="526" spans="2:21" s="485" customFormat="1" ht="14.1" hidden="1" customHeight="1">
      <c r="B526" s="951"/>
      <c r="C526" s="596"/>
      <c r="D526" s="977" t="s">
        <v>55</v>
      </c>
      <c r="E526" s="978"/>
      <c r="F526" s="597"/>
      <c r="G526" s="981" t="s">
        <v>56</v>
      </c>
      <c r="H526" s="981" t="s">
        <v>57</v>
      </c>
      <c r="I526" s="596" t="s">
        <v>58</v>
      </c>
      <c r="J526" s="596" t="s">
        <v>59</v>
      </c>
      <c r="K526" s="596" t="s">
        <v>102</v>
      </c>
      <c r="L526" s="596" t="s">
        <v>418</v>
      </c>
      <c r="M526" s="596" t="s">
        <v>419</v>
      </c>
      <c r="N526" s="596" t="s">
        <v>59</v>
      </c>
      <c r="Q526" s="595"/>
      <c r="R526" s="484"/>
      <c r="S526" s="595"/>
      <c r="T526" s="595"/>
      <c r="U526" s="595"/>
    </row>
    <row r="527" spans="2:21" s="485" customFormat="1" ht="14.1" hidden="1" customHeight="1">
      <c r="B527" s="951"/>
      <c r="C527" s="598" t="s">
        <v>227</v>
      </c>
      <c r="D527" s="979"/>
      <c r="E527" s="980"/>
      <c r="F527" s="599"/>
      <c r="G527" s="982"/>
      <c r="H527" s="982"/>
      <c r="I527" s="598" t="s">
        <v>60</v>
      </c>
      <c r="J527" s="598" t="s">
        <v>61</v>
      </c>
      <c r="K527" s="598" t="s">
        <v>61</v>
      </c>
      <c r="L527" s="598" t="s">
        <v>421</v>
      </c>
      <c r="M527" s="598"/>
      <c r="N527" s="598" t="s">
        <v>423</v>
      </c>
      <c r="Q527" s="595"/>
      <c r="R527" s="484"/>
      <c r="S527" s="595"/>
      <c r="T527" s="595"/>
      <c r="U527" s="595"/>
    </row>
    <row r="528" spans="2:21" s="485" customFormat="1" ht="14.1" hidden="1" customHeight="1">
      <c r="B528" s="951"/>
      <c r="C528" s="600"/>
      <c r="D528" s="969"/>
      <c r="E528" s="970"/>
      <c r="F528" s="601"/>
      <c r="G528" s="973"/>
      <c r="H528" s="973"/>
      <c r="I528" s="600" t="s">
        <v>61</v>
      </c>
      <c r="J528" s="602"/>
      <c r="K528" s="602"/>
      <c r="L528" s="602"/>
      <c r="M528" s="602"/>
      <c r="N528" s="600" t="s">
        <v>61</v>
      </c>
      <c r="Q528" s="595"/>
      <c r="R528" s="484"/>
      <c r="S528" s="595"/>
      <c r="T528" s="595"/>
      <c r="U528" s="595"/>
    </row>
    <row r="529" spans="2:21" s="485" customFormat="1" ht="14.1" hidden="1" customHeight="1">
      <c r="B529" s="951"/>
      <c r="C529" s="596" t="s">
        <v>213</v>
      </c>
      <c r="D529" s="657" t="s">
        <v>62</v>
      </c>
      <c r="E529" s="637" t="s">
        <v>85</v>
      </c>
      <c r="F529" s="646"/>
      <c r="G529" s="600" t="s">
        <v>68</v>
      </c>
      <c r="H529" s="639">
        <f>0.04/2</f>
        <v>0.02</v>
      </c>
      <c r="I529" s="640">
        <f>'UPH-TNG'!$I$74</f>
        <v>1753500</v>
      </c>
      <c r="J529" s="491">
        <f t="shared" ref="J529:J534" si="33">ROUND(H529*I529,2)</f>
        <v>35070</v>
      </c>
      <c r="K529" s="492"/>
      <c r="L529" s="501">
        <v>1</v>
      </c>
      <c r="M529" s="494"/>
      <c r="N529" s="491">
        <f t="shared" ref="N529:N543" si="34">L529*J529</f>
        <v>35070</v>
      </c>
      <c r="P529" s="485">
        <v>1753500</v>
      </c>
      <c r="Q529" s="595">
        <f>P529-I529</f>
        <v>0</v>
      </c>
      <c r="R529" s="484"/>
      <c r="S529" s="595"/>
      <c r="T529" s="595"/>
      <c r="U529" s="595"/>
    </row>
    <row r="530" spans="2:21" s="485" customFormat="1" ht="14.1" hidden="1" customHeight="1">
      <c r="B530" s="951"/>
      <c r="C530" s="607"/>
      <c r="D530" s="657"/>
      <c r="E530" s="637" t="s">
        <v>92</v>
      </c>
      <c r="F530" s="646"/>
      <c r="G530" s="600" t="s">
        <v>73</v>
      </c>
      <c r="H530" s="639">
        <v>0.4</v>
      </c>
      <c r="I530" s="640">
        <f>'UPH-TNG'!$I$103</f>
        <v>17400</v>
      </c>
      <c r="J530" s="491">
        <f t="shared" si="33"/>
        <v>6960</v>
      </c>
      <c r="K530" s="496"/>
      <c r="L530" s="501">
        <f>$L$339</f>
        <v>0</v>
      </c>
      <c r="M530" s="494"/>
      <c r="N530" s="491">
        <f t="shared" si="34"/>
        <v>0</v>
      </c>
      <c r="P530" s="485">
        <v>17400</v>
      </c>
      <c r="Q530" s="595">
        <f t="shared" ref="Q530:Q534" si="35">P530-I530</f>
        <v>0</v>
      </c>
      <c r="R530" s="484"/>
      <c r="S530" s="595"/>
      <c r="T530" s="595"/>
      <c r="U530" s="595"/>
    </row>
    <row r="531" spans="2:21" s="485" customFormat="1" ht="14.1" hidden="1" customHeight="1">
      <c r="B531" s="951"/>
      <c r="C531" s="607"/>
      <c r="D531" s="607"/>
      <c r="E531" s="615" t="s">
        <v>87</v>
      </c>
      <c r="F531" s="615"/>
      <c r="G531" s="605" t="s">
        <v>141</v>
      </c>
      <c r="H531" s="616">
        <v>0.2</v>
      </c>
      <c r="I531" s="617">
        <f>'UPH-TNG'!$I$96</f>
        <v>7900</v>
      </c>
      <c r="J531" s="491">
        <f t="shared" si="33"/>
        <v>1580</v>
      </c>
      <c r="K531" s="496"/>
      <c r="L531" s="501">
        <f>$L$464</f>
        <v>0</v>
      </c>
      <c r="M531" s="494"/>
      <c r="N531" s="491">
        <f t="shared" si="34"/>
        <v>0</v>
      </c>
      <c r="P531" s="485">
        <v>7900</v>
      </c>
      <c r="Q531" s="595">
        <f t="shared" si="35"/>
        <v>0</v>
      </c>
      <c r="R531" s="484"/>
      <c r="S531" s="595"/>
      <c r="T531" s="595"/>
      <c r="U531" s="595"/>
    </row>
    <row r="532" spans="2:21" s="485" customFormat="1" ht="14.1" hidden="1" customHeight="1">
      <c r="B532" s="951"/>
      <c r="C532" s="607"/>
      <c r="D532" s="607"/>
      <c r="E532" s="615" t="s">
        <v>88</v>
      </c>
      <c r="F532" s="615"/>
      <c r="G532" s="605" t="s">
        <v>68</v>
      </c>
      <c r="H532" s="616">
        <f>0.018</f>
        <v>1.7999999999999999E-2</v>
      </c>
      <c r="I532" s="617">
        <f>'UPH-TNG'!$I$75</f>
        <v>2442000</v>
      </c>
      <c r="J532" s="491">
        <f t="shared" si="33"/>
        <v>43956</v>
      </c>
      <c r="K532" s="607"/>
      <c r="L532" s="501">
        <v>1</v>
      </c>
      <c r="M532" s="494"/>
      <c r="N532" s="491">
        <f t="shared" si="34"/>
        <v>43956</v>
      </c>
      <c r="P532" s="485">
        <v>2557700</v>
      </c>
      <c r="Q532" s="595">
        <f t="shared" si="35"/>
        <v>115700</v>
      </c>
      <c r="R532" s="484"/>
      <c r="S532" s="595"/>
      <c r="T532" s="595"/>
      <c r="U532" s="595"/>
    </row>
    <row r="533" spans="2:21" s="485" customFormat="1" ht="14.1" hidden="1" customHeight="1">
      <c r="B533" s="951"/>
      <c r="C533" s="607"/>
      <c r="D533" s="607"/>
      <c r="E533" s="615" t="s">
        <v>89</v>
      </c>
      <c r="F533" s="615"/>
      <c r="G533" s="605" t="s">
        <v>53</v>
      </c>
      <c r="H533" s="616">
        <v>0.35</v>
      </c>
      <c r="I533" s="617">
        <f>'UPH-TNG'!$I$99</f>
        <v>110000</v>
      </c>
      <c r="J533" s="491">
        <f t="shared" si="33"/>
        <v>38500</v>
      </c>
      <c r="K533" s="607"/>
      <c r="L533" s="501">
        <v>0</v>
      </c>
      <c r="M533" s="494"/>
      <c r="N533" s="491">
        <f t="shared" si="34"/>
        <v>0</v>
      </c>
      <c r="P533" s="485">
        <v>157800</v>
      </c>
      <c r="Q533" s="595">
        <f t="shared" si="35"/>
        <v>47800</v>
      </c>
      <c r="R533" s="484"/>
      <c r="S533" s="595"/>
      <c r="T533" s="595"/>
      <c r="U533" s="595"/>
    </row>
    <row r="534" spans="2:21" s="485" customFormat="1" ht="14.1" hidden="1" customHeight="1">
      <c r="B534" s="951"/>
      <c r="C534" s="598"/>
      <c r="D534" s="607"/>
      <c r="E534" s="615" t="s">
        <v>90</v>
      </c>
      <c r="F534" s="615"/>
      <c r="G534" s="605" t="s">
        <v>50</v>
      </c>
      <c r="H534" s="616">
        <v>2</v>
      </c>
      <c r="I534" s="617">
        <f>'UPH-TNG'!$I$40</f>
        <v>11500</v>
      </c>
      <c r="J534" s="491">
        <f t="shared" si="33"/>
        <v>23000</v>
      </c>
      <c r="K534" s="607"/>
      <c r="L534" s="501">
        <v>1</v>
      </c>
      <c r="M534" s="494"/>
      <c r="N534" s="491">
        <f t="shared" si="34"/>
        <v>23000</v>
      </c>
      <c r="P534" s="485">
        <v>11500</v>
      </c>
      <c r="Q534" s="595">
        <f t="shared" si="35"/>
        <v>0</v>
      </c>
      <c r="R534" s="484"/>
      <c r="S534" s="595"/>
      <c r="T534" s="595"/>
      <c r="U534" s="595"/>
    </row>
    <row r="535" spans="2:21" s="485" customFormat="1" ht="14.1" hidden="1" customHeight="1">
      <c r="B535" s="951"/>
      <c r="C535" s="607"/>
      <c r="D535" s="607"/>
      <c r="E535" s="615" t="s">
        <v>164</v>
      </c>
      <c r="F535" s="615"/>
      <c r="G535" s="605"/>
      <c r="H535" s="616"/>
      <c r="I535" s="663"/>
      <c r="J535" s="491"/>
      <c r="K535" s="602"/>
      <c r="L535" s="501"/>
      <c r="M535" s="494"/>
      <c r="N535" s="491">
        <f t="shared" si="34"/>
        <v>0</v>
      </c>
      <c r="Q535" s="595"/>
      <c r="R535" s="484"/>
      <c r="S535" s="595"/>
      <c r="T535" s="595"/>
      <c r="U535" s="595"/>
    </row>
    <row r="536" spans="2:21" s="485" customFormat="1" ht="14.1" hidden="1" customHeight="1">
      <c r="B536" s="951"/>
      <c r="C536" s="600"/>
      <c r="D536" s="607"/>
      <c r="E536" s="612"/>
      <c r="F536" s="613"/>
      <c r="G536" s="610"/>
      <c r="H536" s="614"/>
      <c r="I536" s="664"/>
      <c r="J536" s="495"/>
      <c r="K536" s="491">
        <f>SUM(J529:J535)</f>
        <v>149066</v>
      </c>
      <c r="L536" s="501"/>
      <c r="M536" s="494"/>
      <c r="N536" s="491">
        <f t="shared" si="34"/>
        <v>0</v>
      </c>
      <c r="Q536" s="595"/>
      <c r="R536" s="484"/>
      <c r="S536" s="595"/>
      <c r="T536" s="595"/>
      <c r="U536" s="595"/>
    </row>
    <row r="537" spans="2:21" s="485" customFormat="1" ht="14.1" hidden="1" customHeight="1">
      <c r="B537" s="951"/>
      <c r="C537" s="596" t="s">
        <v>214</v>
      </c>
      <c r="D537" s="603" t="s">
        <v>63</v>
      </c>
      <c r="E537" s="615" t="s">
        <v>69</v>
      </c>
      <c r="F537" s="615"/>
      <c r="G537" s="605" t="s">
        <v>66</v>
      </c>
      <c r="H537" s="616">
        <v>0.66</v>
      </c>
      <c r="I537" s="617">
        <f>'UPH-TNG'!$I$15</f>
        <v>92000</v>
      </c>
      <c r="J537" s="491">
        <f>ROUND(H537*I537,2)</f>
        <v>60720</v>
      </c>
      <c r="K537" s="492"/>
      <c r="L537" s="493">
        <v>1</v>
      </c>
      <c r="M537" s="493" t="s">
        <v>422</v>
      </c>
      <c r="N537" s="491">
        <f t="shared" si="34"/>
        <v>60720</v>
      </c>
      <c r="Q537" s="595"/>
      <c r="R537" s="484"/>
      <c r="S537" s="595"/>
      <c r="T537" s="595"/>
      <c r="U537" s="595"/>
    </row>
    <row r="538" spans="2:21" s="485" customFormat="1" ht="14.1" hidden="1" customHeight="1">
      <c r="B538" s="951"/>
      <c r="C538" s="607"/>
      <c r="D538" s="607"/>
      <c r="E538" s="615" t="s">
        <v>93</v>
      </c>
      <c r="F538" s="615"/>
      <c r="G538" s="605" t="s">
        <v>66</v>
      </c>
      <c r="H538" s="616">
        <v>0.33</v>
      </c>
      <c r="I538" s="617">
        <f>'UPH-TNG'!$I$24</f>
        <v>98000</v>
      </c>
      <c r="J538" s="491">
        <f>ROUND(H538*I538,2)</f>
        <v>32340</v>
      </c>
      <c r="K538" s="496"/>
      <c r="L538" s="493">
        <v>1</v>
      </c>
      <c r="M538" s="493" t="s">
        <v>422</v>
      </c>
      <c r="N538" s="491">
        <f t="shared" si="34"/>
        <v>32340</v>
      </c>
      <c r="Q538" s="595"/>
      <c r="R538" s="484"/>
      <c r="S538" s="595"/>
      <c r="T538" s="595"/>
      <c r="U538" s="595"/>
    </row>
    <row r="539" spans="2:21" s="485" customFormat="1" ht="14.1" hidden="1" customHeight="1">
      <c r="B539" s="951"/>
      <c r="C539" s="598"/>
      <c r="D539" s="607"/>
      <c r="E539" s="615" t="s">
        <v>71</v>
      </c>
      <c r="F539" s="615"/>
      <c r="G539" s="605" t="s">
        <v>66</v>
      </c>
      <c r="H539" s="616">
        <v>3.3000000000000002E-2</v>
      </c>
      <c r="I539" s="617">
        <f>'UPH-TNG'!$I$19</f>
        <v>104000</v>
      </c>
      <c r="J539" s="491">
        <f>ROUND(H539*I539,2)</f>
        <v>3432</v>
      </c>
      <c r="K539" s="496"/>
      <c r="L539" s="493">
        <v>1</v>
      </c>
      <c r="M539" s="493" t="s">
        <v>422</v>
      </c>
      <c r="N539" s="491">
        <f t="shared" si="34"/>
        <v>3432</v>
      </c>
      <c r="Q539" s="595"/>
      <c r="R539" s="484"/>
      <c r="S539" s="595"/>
      <c r="T539" s="595"/>
      <c r="U539" s="595"/>
    </row>
    <row r="540" spans="2:21" s="485" customFormat="1" ht="14.1" hidden="1" customHeight="1">
      <c r="B540" s="951"/>
      <c r="C540" s="598"/>
      <c r="D540" s="607"/>
      <c r="E540" s="615" t="s">
        <v>65</v>
      </c>
      <c r="F540" s="615"/>
      <c r="G540" s="605" t="s">
        <v>66</v>
      </c>
      <c r="H540" s="616">
        <v>3.3000000000000002E-2</v>
      </c>
      <c r="I540" s="617">
        <f>'UPH-TNG'!$I$20</f>
        <v>98000</v>
      </c>
      <c r="J540" s="491">
        <f>ROUND(H540*I540,2)</f>
        <v>3234</v>
      </c>
      <c r="K540" s="607"/>
      <c r="L540" s="493">
        <v>1</v>
      </c>
      <c r="M540" s="493" t="s">
        <v>422</v>
      </c>
      <c r="N540" s="491">
        <f t="shared" si="34"/>
        <v>3234</v>
      </c>
      <c r="Q540" s="595"/>
      <c r="R540" s="484"/>
      <c r="S540" s="595"/>
      <c r="T540" s="595"/>
      <c r="U540" s="595"/>
    </row>
    <row r="541" spans="2:21" s="485" customFormat="1" ht="14.1" hidden="1" customHeight="1">
      <c r="B541" s="951"/>
      <c r="C541" s="602"/>
      <c r="D541" s="602"/>
      <c r="E541" s="612"/>
      <c r="F541" s="613"/>
      <c r="G541" s="610"/>
      <c r="H541" s="614"/>
      <c r="I541" s="618"/>
      <c r="J541" s="495"/>
      <c r="K541" s="494">
        <f>SUM(J537:J540)</f>
        <v>99726</v>
      </c>
      <c r="L541" s="501"/>
      <c r="M541" s="494"/>
      <c r="N541" s="491">
        <f t="shared" si="34"/>
        <v>0</v>
      </c>
      <c r="Q541" s="595"/>
      <c r="R541" s="484"/>
      <c r="S541" s="595"/>
      <c r="T541" s="595"/>
      <c r="U541" s="595"/>
    </row>
    <row r="542" spans="2:21" s="485" customFormat="1" ht="14.1" hidden="1" customHeight="1">
      <c r="B542" s="951"/>
      <c r="C542" s="598" t="s">
        <v>215</v>
      </c>
      <c r="D542" s="603" t="s">
        <v>212</v>
      </c>
      <c r="E542" s="615"/>
      <c r="F542" s="615"/>
      <c r="G542" s="605"/>
      <c r="H542" s="616"/>
      <c r="I542" s="617"/>
      <c r="J542" s="491"/>
      <c r="K542" s="492"/>
      <c r="L542" s="501"/>
      <c r="M542" s="494"/>
      <c r="N542" s="491">
        <f t="shared" si="34"/>
        <v>0</v>
      </c>
      <c r="Q542" s="595"/>
      <c r="R542" s="484"/>
      <c r="S542" s="595"/>
      <c r="T542" s="595"/>
      <c r="U542" s="595"/>
    </row>
    <row r="543" spans="2:21" s="485" customFormat="1" ht="14.1" hidden="1" customHeight="1">
      <c r="B543" s="951"/>
      <c r="C543" s="600"/>
      <c r="D543" s="602"/>
      <c r="E543" s="612"/>
      <c r="F543" s="613"/>
      <c r="G543" s="610"/>
      <c r="H543" s="614"/>
      <c r="I543" s="618"/>
      <c r="J543" s="495"/>
      <c r="K543" s="494">
        <f>SUM(J542:J542)</f>
        <v>0</v>
      </c>
      <c r="L543" s="501"/>
      <c r="M543" s="494"/>
      <c r="N543" s="491">
        <f t="shared" si="34"/>
        <v>0</v>
      </c>
      <c r="Q543" s="595"/>
      <c r="R543" s="484"/>
      <c r="S543" s="595"/>
      <c r="T543" s="595"/>
      <c r="U543" s="595"/>
    </row>
    <row r="544" spans="2:21" s="485" customFormat="1" ht="14.1" hidden="1" customHeight="1">
      <c r="B544" s="951"/>
      <c r="C544" s="605" t="s">
        <v>216</v>
      </c>
      <c r="D544" s="619" t="s">
        <v>219</v>
      </c>
      <c r="E544" s="613"/>
      <c r="F544" s="613"/>
      <c r="G544" s="610"/>
      <c r="H544" s="614"/>
      <c r="I544" s="618"/>
      <c r="J544" s="497" t="s">
        <v>220</v>
      </c>
      <c r="K544" s="494">
        <f>K536+K541+K543</f>
        <v>248792</v>
      </c>
      <c r="L544" s="649">
        <f>N544/K544</f>
        <v>0.81092639634714947</v>
      </c>
      <c r="M544" s="497"/>
      <c r="N544" s="498">
        <f>SUM(N528:N543)</f>
        <v>201752</v>
      </c>
      <c r="Q544" s="595"/>
      <c r="R544" s="484"/>
      <c r="S544" s="595"/>
      <c r="T544" s="595"/>
      <c r="U544" s="595"/>
    </row>
    <row r="545" spans="2:21" s="485" customFormat="1" ht="14.1" hidden="1" customHeight="1">
      <c r="B545" s="951"/>
      <c r="C545" s="600" t="s">
        <v>217</v>
      </c>
      <c r="D545" s="619" t="s">
        <v>221</v>
      </c>
      <c r="E545" s="613"/>
      <c r="F545" s="499">
        <f>$F$48</f>
        <v>0.1</v>
      </c>
      <c r="G545" s="605" t="s">
        <v>168</v>
      </c>
      <c r="H545" s="499">
        <f>$H$48</f>
        <v>0.02</v>
      </c>
      <c r="I545" s="621" t="s">
        <v>167</v>
      </c>
      <c r="J545" s="494" t="s">
        <v>216</v>
      </c>
      <c r="K545" s="500">
        <f>ROUND((K544*(F545+H545)),2)</f>
        <v>29855.040000000001</v>
      </c>
      <c r="L545" s="501"/>
      <c r="M545" s="494"/>
      <c r="N545" s="494"/>
      <c r="Q545" s="595"/>
      <c r="R545" s="484"/>
      <c r="S545" s="595"/>
      <c r="T545" s="595"/>
      <c r="U545" s="595"/>
    </row>
    <row r="546" spans="2:21" s="485" customFormat="1" ht="14.1" hidden="1" customHeight="1">
      <c r="B546" s="951"/>
      <c r="C546" s="622" t="s">
        <v>222</v>
      </c>
      <c r="D546" s="623" t="s">
        <v>76</v>
      </c>
      <c r="E546" s="624"/>
      <c r="F546" s="624"/>
      <c r="G546" s="624"/>
      <c r="H546" s="625"/>
      <c r="I546" s="624"/>
      <c r="J546" s="626" t="s">
        <v>226</v>
      </c>
      <c r="K546" s="627">
        <f>SUM(K544:K545)</f>
        <v>278647.03999999998</v>
      </c>
      <c r="L546" s="620"/>
      <c r="M546" s="626"/>
      <c r="N546" s="635"/>
      <c r="Q546" s="595"/>
      <c r="R546" s="484"/>
      <c r="S546" s="595"/>
      <c r="T546" s="595"/>
      <c r="U546" s="595"/>
    </row>
    <row r="547" spans="2:21" hidden="1">
      <c r="Q547" s="595"/>
      <c r="R547" s="484"/>
      <c r="S547" s="595"/>
      <c r="T547" s="595"/>
      <c r="U547" s="595"/>
    </row>
    <row r="548" spans="2:21" s="485" customFormat="1" ht="14.1" hidden="1" customHeight="1">
      <c r="B548" s="951">
        <f>B523+1</f>
        <v>29</v>
      </c>
      <c r="C548" s="488"/>
      <c r="D548" s="485" t="s">
        <v>518</v>
      </c>
      <c r="H548" s="488"/>
      <c r="K548" s="591" t="s">
        <v>273</v>
      </c>
      <c r="L548" s="591"/>
      <c r="M548" s="591"/>
      <c r="N548" s="591"/>
      <c r="O548" s="485" t="str">
        <f>D549</f>
        <v>m2</v>
      </c>
      <c r="P548" s="636">
        <f>K570</f>
        <v>361240.32000000001</v>
      </c>
      <c r="Q548" s="593">
        <f>L568</f>
        <v>0.85415581516481887</v>
      </c>
      <c r="R548" s="484">
        <f>N568</f>
        <v>275496</v>
      </c>
      <c r="S548" s="594"/>
      <c r="T548" s="484"/>
      <c r="U548" s="593"/>
    </row>
    <row r="549" spans="2:21" s="485" customFormat="1" ht="14.1" hidden="1" customHeight="1">
      <c r="B549" s="951"/>
      <c r="C549" s="488"/>
      <c r="D549" s="485" t="s">
        <v>100</v>
      </c>
      <c r="H549" s="488"/>
      <c r="Q549" s="595"/>
      <c r="R549" s="484"/>
      <c r="S549" s="595"/>
      <c r="T549" s="595"/>
      <c r="U549" s="595"/>
    </row>
    <row r="550" spans="2:21" s="485" customFormat="1" ht="14.1" hidden="1" customHeight="1">
      <c r="B550" s="951"/>
      <c r="C550" s="596"/>
      <c r="D550" s="977" t="s">
        <v>55</v>
      </c>
      <c r="E550" s="978"/>
      <c r="F550" s="597"/>
      <c r="G550" s="981" t="s">
        <v>56</v>
      </c>
      <c r="H550" s="981" t="s">
        <v>57</v>
      </c>
      <c r="I550" s="596" t="s">
        <v>58</v>
      </c>
      <c r="J550" s="596" t="s">
        <v>59</v>
      </c>
      <c r="K550" s="596" t="s">
        <v>102</v>
      </c>
      <c r="L550" s="596" t="s">
        <v>418</v>
      </c>
      <c r="M550" s="596" t="s">
        <v>419</v>
      </c>
      <c r="N550" s="596" t="s">
        <v>59</v>
      </c>
      <c r="Q550" s="595"/>
      <c r="R550" s="484"/>
      <c r="S550" s="595"/>
      <c r="T550" s="595"/>
      <c r="U550" s="595"/>
    </row>
    <row r="551" spans="2:21" s="485" customFormat="1" ht="14.1" hidden="1" customHeight="1">
      <c r="B551" s="951"/>
      <c r="C551" s="598" t="s">
        <v>227</v>
      </c>
      <c r="D551" s="979"/>
      <c r="E551" s="980"/>
      <c r="F551" s="599"/>
      <c r="G551" s="982"/>
      <c r="H551" s="982"/>
      <c r="I551" s="598" t="s">
        <v>60</v>
      </c>
      <c r="J551" s="598" t="s">
        <v>61</v>
      </c>
      <c r="K551" s="598" t="s">
        <v>61</v>
      </c>
      <c r="L551" s="598" t="s">
        <v>421</v>
      </c>
      <c r="M551" s="598"/>
      <c r="N551" s="598" t="s">
        <v>423</v>
      </c>
      <c r="Q551" s="595"/>
      <c r="R551" s="484"/>
      <c r="S551" s="595"/>
      <c r="T551" s="595"/>
      <c r="U551" s="595"/>
    </row>
    <row r="552" spans="2:21" s="485" customFormat="1" ht="14.1" hidden="1" customHeight="1">
      <c r="B552" s="951"/>
      <c r="C552" s="600"/>
      <c r="D552" s="969"/>
      <c r="E552" s="970"/>
      <c r="F552" s="601"/>
      <c r="G552" s="973"/>
      <c r="H552" s="973"/>
      <c r="I552" s="600" t="s">
        <v>61</v>
      </c>
      <c r="J552" s="602"/>
      <c r="K552" s="602"/>
      <c r="L552" s="602"/>
      <c r="M552" s="602"/>
      <c r="N552" s="600" t="s">
        <v>61</v>
      </c>
      <c r="Q552" s="595"/>
      <c r="R552" s="484"/>
      <c r="S552" s="595"/>
      <c r="T552" s="595"/>
      <c r="U552" s="595"/>
    </row>
    <row r="553" spans="2:21" s="485" customFormat="1" ht="14.1" hidden="1" customHeight="1">
      <c r="B553" s="951"/>
      <c r="C553" s="596" t="s">
        <v>213</v>
      </c>
      <c r="D553" s="657" t="s">
        <v>62</v>
      </c>
      <c r="E553" s="637" t="s">
        <v>85</v>
      </c>
      <c r="F553" s="646"/>
      <c r="G553" s="600" t="s">
        <v>68</v>
      </c>
      <c r="H553" s="639">
        <v>0.04</v>
      </c>
      <c r="I553" s="640">
        <f>'UPH-TNG'!$I$74</f>
        <v>1753500</v>
      </c>
      <c r="J553" s="491">
        <f t="shared" ref="J553:J558" si="36">ROUND(H553*I553,2)</f>
        <v>70140</v>
      </c>
      <c r="K553" s="492"/>
      <c r="L553" s="501">
        <v>1</v>
      </c>
      <c r="M553" s="494"/>
      <c r="N553" s="491">
        <f t="shared" ref="N553:N567" si="37">L553*J553</f>
        <v>70140</v>
      </c>
      <c r="Q553" s="595"/>
      <c r="R553" s="484"/>
      <c r="S553" s="595"/>
      <c r="T553" s="595"/>
      <c r="U553" s="595"/>
    </row>
    <row r="554" spans="2:21" s="485" customFormat="1" ht="14.1" hidden="1" customHeight="1">
      <c r="B554" s="951"/>
      <c r="C554" s="607"/>
      <c r="D554" s="657"/>
      <c r="E554" s="637" t="s">
        <v>92</v>
      </c>
      <c r="F554" s="646"/>
      <c r="G554" s="600" t="s">
        <v>73</v>
      </c>
      <c r="H554" s="639">
        <v>0.4</v>
      </c>
      <c r="I554" s="640">
        <f>'UPH-TNG'!$I$103</f>
        <v>17400</v>
      </c>
      <c r="J554" s="491">
        <f t="shared" si="36"/>
        <v>6960</v>
      </c>
      <c r="K554" s="496"/>
      <c r="L554" s="501">
        <f>$L$339</f>
        <v>0</v>
      </c>
      <c r="M554" s="494"/>
      <c r="N554" s="491">
        <f t="shared" si="37"/>
        <v>0</v>
      </c>
      <c r="Q554" s="595"/>
      <c r="R554" s="484"/>
      <c r="S554" s="595"/>
      <c r="T554" s="595"/>
      <c r="U554" s="595"/>
    </row>
    <row r="555" spans="2:21" s="485" customFormat="1" ht="14.1" hidden="1" customHeight="1">
      <c r="B555" s="951"/>
      <c r="C555" s="607"/>
      <c r="D555" s="607"/>
      <c r="E555" s="615" t="s">
        <v>87</v>
      </c>
      <c r="F555" s="615"/>
      <c r="G555" s="605" t="s">
        <v>141</v>
      </c>
      <c r="H555" s="616">
        <v>0.2</v>
      </c>
      <c r="I555" s="617">
        <f>'UPH-TNG'!$I$96</f>
        <v>7900</v>
      </c>
      <c r="J555" s="491">
        <f t="shared" si="36"/>
        <v>1580</v>
      </c>
      <c r="K555" s="496"/>
      <c r="L555" s="501">
        <f>$L$464</f>
        <v>0</v>
      </c>
      <c r="M555" s="494"/>
      <c r="N555" s="491">
        <f t="shared" si="37"/>
        <v>0</v>
      </c>
      <c r="Q555" s="595"/>
      <c r="R555" s="484"/>
      <c r="S555" s="595"/>
      <c r="T555" s="595"/>
      <c r="U555" s="595"/>
    </row>
    <row r="556" spans="2:21" s="485" customFormat="1" ht="14.1" hidden="1" customHeight="1">
      <c r="B556" s="951"/>
      <c r="C556" s="607"/>
      <c r="D556" s="607"/>
      <c r="E556" s="615" t="s">
        <v>88</v>
      </c>
      <c r="F556" s="615"/>
      <c r="G556" s="605" t="s">
        <v>68</v>
      </c>
      <c r="H556" s="616">
        <v>1.4999999999999999E-2</v>
      </c>
      <c r="I556" s="617">
        <f>'UPH-TNG'!$I$75</f>
        <v>2442000</v>
      </c>
      <c r="J556" s="491">
        <f t="shared" si="36"/>
        <v>36630</v>
      </c>
      <c r="K556" s="607"/>
      <c r="L556" s="501">
        <v>1</v>
      </c>
      <c r="M556" s="494"/>
      <c r="N556" s="491">
        <f t="shared" si="37"/>
        <v>36630</v>
      </c>
      <c r="Q556" s="595"/>
      <c r="R556" s="484"/>
      <c r="S556" s="595"/>
      <c r="T556" s="595"/>
      <c r="U556" s="595"/>
    </row>
    <row r="557" spans="2:21" s="485" customFormat="1" ht="14.1" hidden="1" customHeight="1">
      <c r="B557" s="951"/>
      <c r="C557" s="607"/>
      <c r="D557" s="607"/>
      <c r="E557" s="615" t="s">
        <v>89</v>
      </c>
      <c r="F557" s="615"/>
      <c r="G557" s="605" t="s">
        <v>53</v>
      </c>
      <c r="H557" s="616">
        <v>0.35</v>
      </c>
      <c r="I557" s="617">
        <f>'UPH-TNG'!$I$99</f>
        <v>110000</v>
      </c>
      <c r="J557" s="491">
        <f t="shared" si="36"/>
        <v>38500</v>
      </c>
      <c r="K557" s="607"/>
      <c r="L557" s="501">
        <v>0</v>
      </c>
      <c r="M557" s="494"/>
      <c r="N557" s="491">
        <f t="shared" si="37"/>
        <v>0</v>
      </c>
      <c r="Q557" s="595"/>
      <c r="R557" s="484"/>
      <c r="S557" s="595"/>
      <c r="T557" s="595"/>
      <c r="U557" s="595"/>
    </row>
    <row r="558" spans="2:21" s="485" customFormat="1" ht="14.1" hidden="1" customHeight="1">
      <c r="B558" s="951"/>
      <c r="C558" s="598"/>
      <c r="D558" s="607"/>
      <c r="E558" s="615" t="s">
        <v>90</v>
      </c>
      <c r="F558" s="615"/>
      <c r="G558" s="605" t="s">
        <v>50</v>
      </c>
      <c r="H558" s="616">
        <v>6</v>
      </c>
      <c r="I558" s="617">
        <f>'UPH-TNG'!$I$40</f>
        <v>11500</v>
      </c>
      <c r="J558" s="491">
        <f t="shared" si="36"/>
        <v>69000</v>
      </c>
      <c r="K558" s="607"/>
      <c r="L558" s="501">
        <v>1</v>
      </c>
      <c r="M558" s="494"/>
      <c r="N558" s="491">
        <f t="shared" si="37"/>
        <v>69000</v>
      </c>
      <c r="Q558" s="595"/>
      <c r="R558" s="484"/>
      <c r="S558" s="595"/>
      <c r="T558" s="595"/>
      <c r="U558" s="595"/>
    </row>
    <row r="559" spans="2:21" s="485" customFormat="1" ht="14.1" hidden="1" customHeight="1">
      <c r="B559" s="951"/>
      <c r="C559" s="607"/>
      <c r="D559" s="607"/>
      <c r="E559" s="615" t="s">
        <v>164</v>
      </c>
      <c r="F559" s="615"/>
      <c r="G559" s="605"/>
      <c r="H559" s="616"/>
      <c r="I559" s="615"/>
      <c r="J559" s="491"/>
      <c r="K559" s="602"/>
      <c r="L559" s="501"/>
      <c r="M559" s="494"/>
      <c r="N559" s="491">
        <f t="shared" si="37"/>
        <v>0</v>
      </c>
      <c r="Q559" s="595"/>
      <c r="R559" s="484"/>
      <c r="S559" s="595"/>
      <c r="T559" s="595"/>
      <c r="U559" s="595"/>
    </row>
    <row r="560" spans="2:21" s="485" customFormat="1" ht="14.1" hidden="1" customHeight="1">
      <c r="B560" s="951"/>
      <c r="C560" s="600"/>
      <c r="D560" s="607"/>
      <c r="E560" s="612"/>
      <c r="F560" s="613"/>
      <c r="G560" s="610"/>
      <c r="H560" s="614"/>
      <c r="I560" s="613"/>
      <c r="J560" s="495"/>
      <c r="K560" s="491">
        <f>SUM(J553:J559)</f>
        <v>222810</v>
      </c>
      <c r="L560" s="501"/>
      <c r="M560" s="494"/>
      <c r="N560" s="491">
        <f t="shared" si="37"/>
        <v>0</v>
      </c>
      <c r="Q560" s="595"/>
      <c r="R560" s="484"/>
      <c r="S560" s="595"/>
      <c r="T560" s="595"/>
      <c r="U560" s="595"/>
    </row>
    <row r="561" spans="2:21" s="485" customFormat="1" ht="14.1" hidden="1" customHeight="1">
      <c r="B561" s="951"/>
      <c r="C561" s="596" t="s">
        <v>214</v>
      </c>
      <c r="D561" s="603" t="s">
        <v>63</v>
      </c>
      <c r="E561" s="615" t="s">
        <v>69</v>
      </c>
      <c r="F561" s="615"/>
      <c r="G561" s="605" t="s">
        <v>66</v>
      </c>
      <c r="H561" s="616">
        <v>0.66</v>
      </c>
      <c r="I561" s="632">
        <f>'UPH-TNG'!$I$15</f>
        <v>92000</v>
      </c>
      <c r="J561" s="491">
        <f>ROUND(H561*I561,2)</f>
        <v>60720</v>
      </c>
      <c r="K561" s="492"/>
      <c r="L561" s="493">
        <v>1</v>
      </c>
      <c r="M561" s="493" t="s">
        <v>422</v>
      </c>
      <c r="N561" s="491">
        <f t="shared" si="37"/>
        <v>60720</v>
      </c>
      <c r="Q561" s="595"/>
      <c r="R561" s="484"/>
      <c r="S561" s="595"/>
      <c r="T561" s="595"/>
      <c r="U561" s="595"/>
    </row>
    <row r="562" spans="2:21" s="485" customFormat="1" ht="14.1" hidden="1" customHeight="1">
      <c r="B562" s="951"/>
      <c r="C562" s="607"/>
      <c r="D562" s="607"/>
      <c r="E562" s="615" t="s">
        <v>93</v>
      </c>
      <c r="F562" s="615"/>
      <c r="G562" s="605" t="s">
        <v>66</v>
      </c>
      <c r="H562" s="616">
        <v>0.33</v>
      </c>
      <c r="I562" s="632">
        <f>'UPH-TNG'!$I$24</f>
        <v>98000</v>
      </c>
      <c r="J562" s="491">
        <f>ROUND(H562*I562,2)</f>
        <v>32340</v>
      </c>
      <c r="K562" s="496"/>
      <c r="L562" s="493">
        <v>1</v>
      </c>
      <c r="M562" s="493" t="s">
        <v>422</v>
      </c>
      <c r="N562" s="491">
        <f t="shared" si="37"/>
        <v>32340</v>
      </c>
      <c r="Q562" s="595"/>
      <c r="R562" s="484"/>
      <c r="S562" s="595"/>
      <c r="T562" s="595"/>
      <c r="U562" s="595"/>
    </row>
    <row r="563" spans="2:21" s="485" customFormat="1" ht="14.1" hidden="1" customHeight="1">
      <c r="B563" s="951"/>
      <c r="C563" s="598"/>
      <c r="D563" s="607"/>
      <c r="E563" s="615" t="s">
        <v>71</v>
      </c>
      <c r="F563" s="615"/>
      <c r="G563" s="605" t="s">
        <v>66</v>
      </c>
      <c r="H563" s="616">
        <v>3.3000000000000002E-2</v>
      </c>
      <c r="I563" s="632">
        <f>'UPH-TNG'!$I$19</f>
        <v>104000</v>
      </c>
      <c r="J563" s="491">
        <f>ROUND(H563*I563,2)</f>
        <v>3432</v>
      </c>
      <c r="K563" s="496"/>
      <c r="L563" s="493">
        <v>1</v>
      </c>
      <c r="M563" s="493" t="s">
        <v>422</v>
      </c>
      <c r="N563" s="491">
        <f t="shared" si="37"/>
        <v>3432</v>
      </c>
      <c r="Q563" s="595"/>
      <c r="R563" s="484"/>
      <c r="S563" s="595"/>
      <c r="T563" s="595"/>
      <c r="U563" s="595"/>
    </row>
    <row r="564" spans="2:21" s="485" customFormat="1" ht="14.1" hidden="1" customHeight="1">
      <c r="B564" s="951"/>
      <c r="C564" s="598"/>
      <c r="D564" s="607"/>
      <c r="E564" s="615" t="s">
        <v>65</v>
      </c>
      <c r="F564" s="615"/>
      <c r="G564" s="605" t="s">
        <v>66</v>
      </c>
      <c r="H564" s="616">
        <v>3.3000000000000002E-2</v>
      </c>
      <c r="I564" s="632">
        <f>'UPH-TNG'!$I$20</f>
        <v>98000</v>
      </c>
      <c r="J564" s="491">
        <f>ROUND(H564*I564,2)</f>
        <v>3234</v>
      </c>
      <c r="K564" s="607"/>
      <c r="L564" s="493">
        <v>1</v>
      </c>
      <c r="M564" s="493" t="s">
        <v>422</v>
      </c>
      <c r="N564" s="491">
        <f t="shared" si="37"/>
        <v>3234</v>
      </c>
      <c r="Q564" s="595"/>
      <c r="R564" s="484"/>
      <c r="S564" s="595"/>
      <c r="T564" s="595"/>
      <c r="U564" s="595"/>
    </row>
    <row r="565" spans="2:21" s="485" customFormat="1" ht="14.1" hidden="1" customHeight="1">
      <c r="B565" s="951"/>
      <c r="C565" s="602"/>
      <c r="D565" s="602"/>
      <c r="E565" s="612"/>
      <c r="F565" s="613"/>
      <c r="G565" s="610"/>
      <c r="H565" s="614"/>
      <c r="I565" s="633"/>
      <c r="J565" s="495"/>
      <c r="K565" s="494">
        <f>SUM(J561:J564)</f>
        <v>99726</v>
      </c>
      <c r="L565" s="501"/>
      <c r="M565" s="494"/>
      <c r="N565" s="491">
        <f t="shared" si="37"/>
        <v>0</v>
      </c>
      <c r="Q565" s="595"/>
      <c r="R565" s="484"/>
      <c r="S565" s="595"/>
      <c r="T565" s="595"/>
      <c r="U565" s="595"/>
    </row>
    <row r="566" spans="2:21" s="485" customFormat="1" ht="14.1" hidden="1" customHeight="1">
      <c r="B566" s="951"/>
      <c r="C566" s="598" t="s">
        <v>215</v>
      </c>
      <c r="D566" s="603" t="s">
        <v>212</v>
      </c>
      <c r="E566" s="615"/>
      <c r="F566" s="615"/>
      <c r="G566" s="605"/>
      <c r="H566" s="616"/>
      <c r="I566" s="617"/>
      <c r="J566" s="491"/>
      <c r="K566" s="492"/>
      <c r="L566" s="501"/>
      <c r="M566" s="494"/>
      <c r="N566" s="491">
        <f t="shared" si="37"/>
        <v>0</v>
      </c>
      <c r="Q566" s="595"/>
      <c r="R566" s="484"/>
      <c r="S566" s="595"/>
      <c r="T566" s="595"/>
      <c r="U566" s="595"/>
    </row>
    <row r="567" spans="2:21" s="485" customFormat="1" ht="14.1" hidden="1" customHeight="1">
      <c r="B567" s="951"/>
      <c r="C567" s="600"/>
      <c r="D567" s="602"/>
      <c r="E567" s="612"/>
      <c r="F567" s="613"/>
      <c r="G567" s="610"/>
      <c r="H567" s="614"/>
      <c r="I567" s="618"/>
      <c r="J567" s="495"/>
      <c r="K567" s="494">
        <f>SUM(J566:J566)</f>
        <v>0</v>
      </c>
      <c r="L567" s="501"/>
      <c r="M567" s="494"/>
      <c r="N567" s="491">
        <f t="shared" si="37"/>
        <v>0</v>
      </c>
      <c r="Q567" s="595"/>
      <c r="R567" s="484"/>
      <c r="S567" s="595"/>
      <c r="T567" s="595"/>
      <c r="U567" s="595"/>
    </row>
    <row r="568" spans="2:21" s="485" customFormat="1" ht="14.1" hidden="1" customHeight="1">
      <c r="B568" s="951"/>
      <c r="C568" s="605" t="s">
        <v>216</v>
      </c>
      <c r="D568" s="619" t="s">
        <v>219</v>
      </c>
      <c r="E568" s="613"/>
      <c r="F568" s="613"/>
      <c r="G568" s="610"/>
      <c r="H568" s="614"/>
      <c r="I568" s="618"/>
      <c r="J568" s="497" t="s">
        <v>220</v>
      </c>
      <c r="K568" s="494">
        <f>K560+K565+K567</f>
        <v>322536</v>
      </c>
      <c r="L568" s="649">
        <f>N568/K568</f>
        <v>0.85415581516481887</v>
      </c>
      <c r="M568" s="497"/>
      <c r="N568" s="498">
        <f>SUM(N553:N567)</f>
        <v>275496</v>
      </c>
      <c r="Q568" s="595"/>
      <c r="R568" s="484"/>
      <c r="S568" s="595"/>
      <c r="T568" s="595"/>
      <c r="U568" s="595"/>
    </row>
    <row r="569" spans="2:21" s="485" customFormat="1" ht="14.1" hidden="1" customHeight="1">
      <c r="B569" s="951"/>
      <c r="C569" s="600" t="s">
        <v>217</v>
      </c>
      <c r="D569" s="619" t="s">
        <v>221</v>
      </c>
      <c r="E569" s="613"/>
      <c r="F569" s="499">
        <f>$F$48</f>
        <v>0.1</v>
      </c>
      <c r="G569" s="605" t="s">
        <v>168</v>
      </c>
      <c r="H569" s="499">
        <f>$H$48</f>
        <v>0.02</v>
      </c>
      <c r="I569" s="621" t="s">
        <v>167</v>
      </c>
      <c r="J569" s="494" t="s">
        <v>216</v>
      </c>
      <c r="K569" s="500">
        <f>ROUND((K568*(F569+H569)),2)</f>
        <v>38704.32</v>
      </c>
      <c r="L569" s="494"/>
      <c r="M569" s="494"/>
      <c r="N569" s="494"/>
      <c r="Q569" s="595"/>
      <c r="R569" s="484"/>
      <c r="S569" s="595"/>
      <c r="T569" s="595"/>
      <c r="U569" s="595"/>
    </row>
    <row r="570" spans="2:21" s="485" customFormat="1" ht="14.1" hidden="1" customHeight="1">
      <c r="B570" s="951"/>
      <c r="C570" s="622" t="s">
        <v>222</v>
      </c>
      <c r="D570" s="623" t="s">
        <v>76</v>
      </c>
      <c r="E570" s="624"/>
      <c r="F570" s="624"/>
      <c r="G570" s="624"/>
      <c r="H570" s="625"/>
      <c r="I570" s="624"/>
      <c r="J570" s="626" t="s">
        <v>226</v>
      </c>
      <c r="K570" s="627">
        <f>SUM(K568:K569)</f>
        <v>361240.32000000001</v>
      </c>
      <c r="L570" s="620"/>
      <c r="M570" s="626"/>
      <c r="N570" s="635"/>
      <c r="Q570" s="595"/>
      <c r="R570" s="484"/>
      <c r="S570" s="595"/>
      <c r="T570" s="595"/>
      <c r="U570" s="595"/>
    </row>
    <row r="571" spans="2:21" hidden="1">
      <c r="Q571" s="595"/>
      <c r="R571" s="484"/>
      <c r="S571" s="595"/>
      <c r="T571" s="595"/>
      <c r="U571" s="595"/>
    </row>
    <row r="572" spans="2:21" s="485" customFormat="1" ht="14.1" hidden="1" customHeight="1">
      <c r="B572" s="951">
        <f>B548+1</f>
        <v>30</v>
      </c>
      <c r="C572" s="488"/>
      <c r="D572" s="485" t="s">
        <v>682</v>
      </c>
      <c r="H572" s="488"/>
      <c r="I572" s="665"/>
      <c r="K572" s="591" t="s">
        <v>239</v>
      </c>
      <c r="L572" s="591"/>
      <c r="M572" s="591"/>
      <c r="N572" s="591"/>
      <c r="O572" s="485" t="str">
        <f>D573</f>
        <v>m2</v>
      </c>
      <c r="P572" s="636">
        <f>K591</f>
        <v>160480.04</v>
      </c>
      <c r="Q572" s="593">
        <f>L589</f>
        <v>0.8237089173208082</v>
      </c>
      <c r="R572" s="484">
        <f>N589</f>
        <v>118025.75</v>
      </c>
      <c r="S572" s="594"/>
      <c r="T572" s="484"/>
      <c r="U572" s="593"/>
    </row>
    <row r="573" spans="2:21" s="485" customFormat="1" ht="14.1" hidden="1" customHeight="1">
      <c r="B573" s="951"/>
      <c r="C573" s="488"/>
      <c r="D573" s="485" t="s">
        <v>100</v>
      </c>
      <c r="H573" s="488"/>
      <c r="Q573" s="595"/>
      <c r="R573" s="484"/>
      <c r="S573" s="595"/>
      <c r="T573" s="595"/>
      <c r="U573" s="595"/>
    </row>
    <row r="574" spans="2:21" s="485" customFormat="1" ht="14.1" hidden="1" customHeight="1">
      <c r="B574" s="951"/>
      <c r="C574" s="596"/>
      <c r="D574" s="977" t="s">
        <v>55</v>
      </c>
      <c r="E574" s="978"/>
      <c r="F574" s="597"/>
      <c r="G574" s="981" t="s">
        <v>56</v>
      </c>
      <c r="H574" s="981" t="s">
        <v>57</v>
      </c>
      <c r="I574" s="596" t="s">
        <v>58</v>
      </c>
      <c r="J574" s="596" t="s">
        <v>59</v>
      </c>
      <c r="K574" s="596" t="s">
        <v>102</v>
      </c>
      <c r="L574" s="596" t="s">
        <v>418</v>
      </c>
      <c r="M574" s="596" t="s">
        <v>419</v>
      </c>
      <c r="N574" s="596" t="s">
        <v>59</v>
      </c>
      <c r="Q574" s="595"/>
      <c r="R574" s="484"/>
      <c r="S574" s="595"/>
      <c r="T574" s="595"/>
      <c r="U574" s="595"/>
    </row>
    <row r="575" spans="2:21" s="485" customFormat="1" ht="14.1" hidden="1" customHeight="1">
      <c r="B575" s="951"/>
      <c r="C575" s="598" t="s">
        <v>227</v>
      </c>
      <c r="D575" s="979"/>
      <c r="E575" s="980"/>
      <c r="F575" s="599"/>
      <c r="G575" s="982"/>
      <c r="H575" s="982"/>
      <c r="I575" s="598" t="s">
        <v>60</v>
      </c>
      <c r="J575" s="598" t="s">
        <v>61</v>
      </c>
      <c r="K575" s="598" t="s">
        <v>61</v>
      </c>
      <c r="L575" s="598" t="s">
        <v>421</v>
      </c>
      <c r="M575" s="598"/>
      <c r="N575" s="598" t="s">
        <v>423</v>
      </c>
      <c r="Q575" s="595"/>
      <c r="R575" s="484"/>
      <c r="S575" s="595"/>
      <c r="T575" s="595"/>
      <c r="U575" s="595"/>
    </row>
    <row r="576" spans="2:21" s="485" customFormat="1" ht="14.1" hidden="1" customHeight="1">
      <c r="B576" s="951"/>
      <c r="C576" s="600"/>
      <c r="D576" s="969"/>
      <c r="E576" s="970"/>
      <c r="F576" s="601"/>
      <c r="G576" s="973"/>
      <c r="H576" s="973"/>
      <c r="I576" s="600" t="s">
        <v>61</v>
      </c>
      <c r="J576" s="602"/>
      <c r="K576" s="602"/>
      <c r="L576" s="602"/>
      <c r="M576" s="602"/>
      <c r="N576" s="600" t="s">
        <v>61</v>
      </c>
      <c r="Q576" s="595"/>
      <c r="R576" s="484"/>
      <c r="S576" s="595"/>
      <c r="T576" s="595"/>
      <c r="U576" s="595"/>
    </row>
    <row r="577" spans="2:21" s="485" customFormat="1" ht="14.1" hidden="1" customHeight="1">
      <c r="B577" s="951"/>
      <c r="C577" s="596" t="s">
        <v>213</v>
      </c>
      <c r="D577" s="657" t="s">
        <v>62</v>
      </c>
      <c r="E577" s="637" t="s">
        <v>85</v>
      </c>
      <c r="F577" s="646"/>
      <c r="G577" s="600" t="s">
        <v>68</v>
      </c>
      <c r="H577" s="639">
        <f>0.045/2</f>
        <v>2.2499999999999999E-2</v>
      </c>
      <c r="I577" s="640">
        <f>'UPH-TNG'!$I$74</f>
        <v>1753500</v>
      </c>
      <c r="J577" s="491">
        <f t="shared" ref="J577:J580" si="38">ROUND(H577*I577,2)</f>
        <v>39453.75</v>
      </c>
      <c r="K577" s="492"/>
      <c r="L577" s="501">
        <v>1</v>
      </c>
      <c r="M577" s="494"/>
      <c r="N577" s="491">
        <f t="shared" ref="N577:N588" si="39">L577*J577</f>
        <v>39453.75</v>
      </c>
      <c r="Q577" s="595"/>
      <c r="R577" s="484"/>
      <c r="S577" s="595"/>
      <c r="T577" s="595"/>
      <c r="U577" s="595"/>
    </row>
    <row r="578" spans="2:21" s="485" customFormat="1" ht="14.1" hidden="1" customHeight="1">
      <c r="B578" s="951"/>
      <c r="C578" s="607"/>
      <c r="D578" s="657"/>
      <c r="E578" s="637" t="s">
        <v>92</v>
      </c>
      <c r="F578" s="646"/>
      <c r="G578" s="600" t="s">
        <v>73</v>
      </c>
      <c r="H578" s="639">
        <v>0.3</v>
      </c>
      <c r="I578" s="640">
        <f>'UPH-TNG'!$I$103</f>
        <v>17400</v>
      </c>
      <c r="J578" s="491">
        <f t="shared" si="38"/>
        <v>5220</v>
      </c>
      <c r="K578" s="496"/>
      <c r="L578" s="501">
        <f>$L$339</f>
        <v>0</v>
      </c>
      <c r="M578" s="494"/>
      <c r="N578" s="491">
        <f t="shared" si="39"/>
        <v>0</v>
      </c>
      <c r="Q578" s="595"/>
      <c r="R578" s="484"/>
      <c r="S578" s="595"/>
      <c r="T578" s="595"/>
      <c r="U578" s="595"/>
    </row>
    <row r="579" spans="2:21" s="485" customFormat="1" ht="14.1" hidden="1" customHeight="1">
      <c r="B579" s="951"/>
      <c r="C579" s="666"/>
      <c r="D579" s="667"/>
      <c r="E579" s="615" t="s">
        <v>89</v>
      </c>
      <c r="F579" s="615"/>
      <c r="G579" s="605" t="s">
        <v>53</v>
      </c>
      <c r="H579" s="616">
        <f>0.35/2</f>
        <v>0.17499999999999999</v>
      </c>
      <c r="I579" s="617">
        <f>'UPH-TNG'!$I$99</f>
        <v>110000</v>
      </c>
      <c r="J579" s="491">
        <f t="shared" si="38"/>
        <v>19250</v>
      </c>
      <c r="K579" s="607"/>
      <c r="L579" s="501">
        <v>0</v>
      </c>
      <c r="M579" s="494"/>
      <c r="N579" s="491">
        <f t="shared" si="39"/>
        <v>0</v>
      </c>
      <c r="Q579" s="595"/>
      <c r="R579" s="484"/>
      <c r="S579" s="595"/>
      <c r="T579" s="595"/>
      <c r="U579" s="595"/>
    </row>
    <row r="580" spans="2:21" s="485" customFormat="1" ht="14.1" hidden="1" customHeight="1">
      <c r="B580" s="951"/>
      <c r="C580" s="607"/>
      <c r="D580" s="607"/>
      <c r="E580" s="615" t="s">
        <v>87</v>
      </c>
      <c r="F580" s="615"/>
      <c r="G580" s="605" t="s">
        <v>141</v>
      </c>
      <c r="H580" s="616">
        <v>0.1</v>
      </c>
      <c r="I580" s="617">
        <f>'UPH-TNG'!$I$96</f>
        <v>7900</v>
      </c>
      <c r="J580" s="491">
        <f t="shared" si="38"/>
        <v>790</v>
      </c>
      <c r="K580" s="496"/>
      <c r="L580" s="501">
        <f>$L$464</f>
        <v>0</v>
      </c>
      <c r="M580" s="494"/>
      <c r="N580" s="491">
        <f t="shared" si="39"/>
        <v>0</v>
      </c>
      <c r="Q580" s="595"/>
      <c r="R580" s="484"/>
      <c r="S580" s="595"/>
      <c r="T580" s="595"/>
      <c r="U580" s="595"/>
    </row>
    <row r="581" spans="2:21" s="485" customFormat="1" ht="14.1" hidden="1" customHeight="1">
      <c r="B581" s="951"/>
      <c r="C581" s="600"/>
      <c r="D581" s="607"/>
      <c r="E581" s="612"/>
      <c r="F581" s="613"/>
      <c r="G581" s="610"/>
      <c r="H581" s="614"/>
      <c r="I581" s="613"/>
      <c r="J581" s="495"/>
      <c r="K581" s="491">
        <f>SUM(J577:J580)</f>
        <v>64713.75</v>
      </c>
      <c r="L581" s="501"/>
      <c r="M581" s="494"/>
      <c r="N581" s="491">
        <f t="shared" si="39"/>
        <v>0</v>
      </c>
      <c r="Q581" s="595"/>
      <c r="R581" s="484"/>
      <c r="S581" s="595"/>
      <c r="T581" s="595"/>
      <c r="U581" s="595"/>
    </row>
    <row r="582" spans="2:21" s="485" customFormat="1" ht="14.1" hidden="1" customHeight="1">
      <c r="B582" s="951"/>
      <c r="C582" s="596" t="s">
        <v>214</v>
      </c>
      <c r="D582" s="603" t="s">
        <v>63</v>
      </c>
      <c r="E582" s="615" t="s">
        <v>69</v>
      </c>
      <c r="F582" s="615"/>
      <c r="G582" s="605" t="s">
        <v>66</v>
      </c>
      <c r="H582" s="616">
        <v>0.52</v>
      </c>
      <c r="I582" s="632">
        <f>'UPH-TNG'!$I$15</f>
        <v>92000</v>
      </c>
      <c r="J582" s="491">
        <f>ROUND(H582*I582,2)</f>
        <v>47840</v>
      </c>
      <c r="K582" s="492"/>
      <c r="L582" s="493">
        <v>1</v>
      </c>
      <c r="M582" s="493" t="s">
        <v>422</v>
      </c>
      <c r="N582" s="491">
        <f t="shared" si="39"/>
        <v>47840</v>
      </c>
      <c r="Q582" s="595"/>
      <c r="R582" s="484"/>
      <c r="S582" s="595"/>
      <c r="T582" s="595"/>
      <c r="U582" s="595"/>
    </row>
    <row r="583" spans="2:21" s="485" customFormat="1" ht="14.1" hidden="1" customHeight="1">
      <c r="B583" s="951"/>
      <c r="C583" s="607"/>
      <c r="D583" s="607"/>
      <c r="E583" s="615" t="s">
        <v>93</v>
      </c>
      <c r="F583" s="615"/>
      <c r="G583" s="605" t="s">
        <v>66</v>
      </c>
      <c r="H583" s="616">
        <v>0.26</v>
      </c>
      <c r="I583" s="632">
        <f>'UPH-TNG'!$I$24</f>
        <v>98000</v>
      </c>
      <c r="J583" s="491">
        <f>ROUND(H583*I583,2)</f>
        <v>25480</v>
      </c>
      <c r="K583" s="496"/>
      <c r="L583" s="493">
        <v>1</v>
      </c>
      <c r="M583" s="493" t="s">
        <v>422</v>
      </c>
      <c r="N583" s="491">
        <f t="shared" si="39"/>
        <v>25480</v>
      </c>
      <c r="Q583" s="595"/>
      <c r="R583" s="484"/>
      <c r="S583" s="595"/>
      <c r="T583" s="595"/>
      <c r="U583" s="595"/>
    </row>
    <row r="584" spans="2:21" s="485" customFormat="1" ht="14.1" hidden="1" customHeight="1">
      <c r="B584" s="951"/>
      <c r="C584" s="598"/>
      <c r="D584" s="607"/>
      <c r="E584" s="615" t="s">
        <v>71</v>
      </c>
      <c r="F584" s="615"/>
      <c r="G584" s="605" t="s">
        <v>66</v>
      </c>
      <c r="H584" s="616">
        <v>2.5999999999999999E-2</v>
      </c>
      <c r="I584" s="632">
        <f>'UPH-TNG'!$I$19</f>
        <v>104000</v>
      </c>
      <c r="J584" s="491">
        <f>ROUND(H584*I584,2)</f>
        <v>2704</v>
      </c>
      <c r="K584" s="496"/>
      <c r="L584" s="493">
        <v>1</v>
      </c>
      <c r="M584" s="493" t="s">
        <v>422</v>
      </c>
      <c r="N584" s="491">
        <f t="shared" si="39"/>
        <v>2704</v>
      </c>
      <c r="Q584" s="595"/>
      <c r="R584" s="484"/>
      <c r="S584" s="595"/>
      <c r="T584" s="595"/>
      <c r="U584" s="595"/>
    </row>
    <row r="585" spans="2:21" s="485" customFormat="1" ht="14.1" hidden="1" customHeight="1">
      <c r="B585" s="951"/>
      <c r="C585" s="598"/>
      <c r="D585" s="607"/>
      <c r="E585" s="615" t="s">
        <v>65</v>
      </c>
      <c r="F585" s="615"/>
      <c r="G585" s="605" t="s">
        <v>66</v>
      </c>
      <c r="H585" s="616">
        <v>2.5999999999999999E-2</v>
      </c>
      <c r="I585" s="632">
        <f>'UPH-TNG'!$I$20</f>
        <v>98000</v>
      </c>
      <c r="J585" s="491">
        <f>ROUND(H585*I585,2)</f>
        <v>2548</v>
      </c>
      <c r="K585" s="607"/>
      <c r="L585" s="493">
        <v>1</v>
      </c>
      <c r="M585" s="493" t="s">
        <v>422</v>
      </c>
      <c r="N585" s="491">
        <f t="shared" si="39"/>
        <v>2548</v>
      </c>
      <c r="Q585" s="595"/>
      <c r="R585" s="484"/>
      <c r="S585" s="595"/>
      <c r="T585" s="595"/>
      <c r="U585" s="595"/>
    </row>
    <row r="586" spans="2:21" s="485" customFormat="1" ht="14.1" hidden="1" customHeight="1">
      <c r="B586" s="951"/>
      <c r="C586" s="602"/>
      <c r="D586" s="602"/>
      <c r="E586" s="612"/>
      <c r="F586" s="613"/>
      <c r="G586" s="610"/>
      <c r="H586" s="614"/>
      <c r="I586" s="633"/>
      <c r="J586" s="495"/>
      <c r="K586" s="494">
        <f>SUM(J582:J585)</f>
        <v>78572</v>
      </c>
      <c r="L586" s="501"/>
      <c r="M586" s="494"/>
      <c r="N586" s="491">
        <f t="shared" si="39"/>
        <v>0</v>
      </c>
      <c r="Q586" s="595"/>
      <c r="R586" s="484"/>
      <c r="S586" s="595"/>
      <c r="T586" s="595"/>
      <c r="U586" s="595"/>
    </row>
    <row r="587" spans="2:21" s="485" customFormat="1" ht="14.1" hidden="1" customHeight="1">
      <c r="B587" s="951"/>
      <c r="C587" s="598" t="s">
        <v>215</v>
      </c>
      <c r="D587" s="603" t="s">
        <v>212</v>
      </c>
      <c r="E587" s="615"/>
      <c r="F587" s="615"/>
      <c r="G587" s="605"/>
      <c r="H587" s="616"/>
      <c r="I587" s="617"/>
      <c r="J587" s="491"/>
      <c r="K587" s="492"/>
      <c r="L587" s="501"/>
      <c r="M587" s="494"/>
      <c r="N587" s="491">
        <f t="shared" si="39"/>
        <v>0</v>
      </c>
      <c r="Q587" s="595"/>
      <c r="R587" s="484"/>
      <c r="S587" s="595"/>
      <c r="T587" s="595"/>
      <c r="U587" s="595"/>
    </row>
    <row r="588" spans="2:21" s="485" customFormat="1" ht="14.1" hidden="1" customHeight="1">
      <c r="B588" s="951"/>
      <c r="C588" s="600"/>
      <c r="D588" s="602"/>
      <c r="E588" s="612"/>
      <c r="F588" s="613"/>
      <c r="G588" s="610"/>
      <c r="H588" s="614"/>
      <c r="I588" s="618"/>
      <c r="J588" s="495"/>
      <c r="K588" s="494">
        <f>SUM(J587:J587)</f>
        <v>0</v>
      </c>
      <c r="L588" s="501"/>
      <c r="M588" s="494"/>
      <c r="N588" s="491">
        <f t="shared" si="39"/>
        <v>0</v>
      </c>
      <c r="Q588" s="595"/>
      <c r="R588" s="484"/>
      <c r="S588" s="595"/>
      <c r="T588" s="595"/>
      <c r="U588" s="595"/>
    </row>
    <row r="589" spans="2:21" s="485" customFormat="1" ht="14.1" hidden="1" customHeight="1">
      <c r="B589" s="951"/>
      <c r="C589" s="605" t="s">
        <v>216</v>
      </c>
      <c r="D589" s="619" t="s">
        <v>219</v>
      </c>
      <c r="E589" s="613"/>
      <c r="F589" s="613"/>
      <c r="G589" s="610"/>
      <c r="H589" s="614"/>
      <c r="I589" s="618"/>
      <c r="J589" s="497" t="s">
        <v>220</v>
      </c>
      <c r="K589" s="494">
        <f>K581+K586+K588</f>
        <v>143285.75</v>
      </c>
      <c r="L589" s="649">
        <f>N589/K589</f>
        <v>0.8237089173208082</v>
      </c>
      <c r="M589" s="497"/>
      <c r="N589" s="498">
        <f>SUM(N577:N588)</f>
        <v>118025.75</v>
      </c>
      <c r="Q589" s="595"/>
      <c r="R589" s="484"/>
      <c r="S589" s="595"/>
      <c r="T589" s="595"/>
      <c r="U589" s="595"/>
    </row>
    <row r="590" spans="2:21" s="485" customFormat="1" ht="14.1" hidden="1" customHeight="1">
      <c r="B590" s="951"/>
      <c r="C590" s="600" t="s">
        <v>217</v>
      </c>
      <c r="D590" s="619" t="s">
        <v>221</v>
      </c>
      <c r="E590" s="613"/>
      <c r="F590" s="499">
        <f>$F$48</f>
        <v>0.1</v>
      </c>
      <c r="G590" s="605" t="s">
        <v>168</v>
      </c>
      <c r="H590" s="499">
        <f>$H$48</f>
        <v>0.02</v>
      </c>
      <c r="I590" s="621" t="s">
        <v>167</v>
      </c>
      <c r="J590" s="494" t="s">
        <v>216</v>
      </c>
      <c r="K590" s="500">
        <f>ROUND((K589*(F590+H590)),2)</f>
        <v>17194.29</v>
      </c>
      <c r="L590" s="494"/>
      <c r="M590" s="494"/>
      <c r="N590" s="494"/>
      <c r="Q590" s="595"/>
      <c r="R590" s="484"/>
      <c r="S590" s="595"/>
      <c r="T590" s="595"/>
      <c r="U590" s="595"/>
    </row>
    <row r="591" spans="2:21" s="485" customFormat="1" ht="14.1" hidden="1" customHeight="1">
      <c r="B591" s="951"/>
      <c r="C591" s="622" t="s">
        <v>222</v>
      </c>
      <c r="D591" s="623" t="s">
        <v>76</v>
      </c>
      <c r="E591" s="624"/>
      <c r="F591" s="624"/>
      <c r="G591" s="624"/>
      <c r="H591" s="625"/>
      <c r="I591" s="624"/>
      <c r="J591" s="626" t="s">
        <v>226</v>
      </c>
      <c r="K591" s="627">
        <f>SUM(K589:K590)</f>
        <v>160480.04</v>
      </c>
      <c r="L591" s="620"/>
      <c r="M591" s="626"/>
      <c r="N591" s="635"/>
      <c r="Q591" s="595"/>
      <c r="R591" s="484"/>
      <c r="S591" s="595"/>
      <c r="T591" s="595"/>
      <c r="U591" s="595"/>
    </row>
    <row r="592" spans="2:21" hidden="1">
      <c r="Q592" s="595"/>
      <c r="R592" s="484"/>
      <c r="S592" s="595"/>
      <c r="T592" s="595"/>
      <c r="U592" s="595"/>
    </row>
    <row r="593" spans="2:21" s="485" customFormat="1" ht="14.1" customHeight="1">
      <c r="B593" s="951">
        <f>B572+1</f>
        <v>31</v>
      </c>
      <c r="C593" s="488"/>
      <c r="D593" s="485" t="s">
        <v>616</v>
      </c>
      <c r="H593" s="488"/>
      <c r="K593" s="591" t="s">
        <v>122</v>
      </c>
      <c r="L593" s="591"/>
      <c r="M593" s="591"/>
      <c r="N593" s="591"/>
      <c r="O593" s="485" t="str">
        <f>D594</f>
        <v>m2</v>
      </c>
      <c r="P593" s="636">
        <f>K611</f>
        <v>138920.04</v>
      </c>
      <c r="Q593" s="593">
        <f>L609</f>
        <v>0.95154622759970409</v>
      </c>
      <c r="R593" s="484">
        <f>N609</f>
        <v>118025.75</v>
      </c>
      <c r="S593" s="594"/>
      <c r="T593" s="484"/>
      <c r="U593" s="593"/>
    </row>
    <row r="594" spans="2:21" s="485" customFormat="1" ht="14.1" customHeight="1">
      <c r="B594" s="951"/>
      <c r="C594" s="488"/>
      <c r="D594" s="485" t="s">
        <v>100</v>
      </c>
      <c r="H594" s="488"/>
      <c r="Q594" s="595"/>
      <c r="R594" s="484"/>
      <c r="S594" s="595"/>
      <c r="T594" s="595"/>
      <c r="U594" s="595"/>
    </row>
    <row r="595" spans="2:21" s="485" customFormat="1" ht="14.1" customHeight="1">
      <c r="B595" s="951"/>
      <c r="C595" s="596"/>
      <c r="D595" s="977" t="s">
        <v>55</v>
      </c>
      <c r="E595" s="978"/>
      <c r="F595" s="597"/>
      <c r="G595" s="981" t="s">
        <v>56</v>
      </c>
      <c r="H595" s="981" t="s">
        <v>57</v>
      </c>
      <c r="I595" s="596" t="s">
        <v>58</v>
      </c>
      <c r="J595" s="596" t="s">
        <v>59</v>
      </c>
      <c r="K595" s="596" t="s">
        <v>102</v>
      </c>
      <c r="L595" s="596" t="s">
        <v>418</v>
      </c>
      <c r="M595" s="596" t="s">
        <v>419</v>
      </c>
      <c r="N595" s="596" t="s">
        <v>59</v>
      </c>
      <c r="Q595" s="595"/>
      <c r="R595" s="484"/>
      <c r="S595" s="595"/>
      <c r="T595" s="595"/>
      <c r="U595" s="595"/>
    </row>
    <row r="596" spans="2:21" s="485" customFormat="1" ht="14.1" customHeight="1">
      <c r="B596" s="951"/>
      <c r="C596" s="598" t="s">
        <v>227</v>
      </c>
      <c r="D596" s="979"/>
      <c r="E596" s="980"/>
      <c r="F596" s="599"/>
      <c r="G596" s="982"/>
      <c r="H596" s="982"/>
      <c r="I596" s="598" t="s">
        <v>60</v>
      </c>
      <c r="J596" s="598" t="s">
        <v>61</v>
      </c>
      <c r="K596" s="598" t="s">
        <v>61</v>
      </c>
      <c r="L596" s="598" t="s">
        <v>421</v>
      </c>
      <c r="M596" s="598"/>
      <c r="N596" s="598" t="s">
        <v>423</v>
      </c>
      <c r="Q596" s="595"/>
      <c r="R596" s="484"/>
      <c r="S596" s="595"/>
      <c r="T596" s="595"/>
      <c r="U596" s="595"/>
    </row>
    <row r="597" spans="2:21" s="485" customFormat="1" ht="14.1" customHeight="1">
      <c r="B597" s="951"/>
      <c r="C597" s="600"/>
      <c r="D597" s="969"/>
      <c r="E597" s="970"/>
      <c r="F597" s="601"/>
      <c r="G597" s="973"/>
      <c r="H597" s="973"/>
      <c r="I597" s="600" t="s">
        <v>61</v>
      </c>
      <c r="J597" s="602"/>
      <c r="K597" s="602"/>
      <c r="L597" s="602"/>
      <c r="M597" s="602"/>
      <c r="N597" s="600" t="s">
        <v>61</v>
      </c>
      <c r="Q597" s="595"/>
      <c r="R597" s="484"/>
      <c r="S597" s="595"/>
      <c r="T597" s="595"/>
      <c r="U597" s="595"/>
    </row>
    <row r="598" spans="2:21" s="485" customFormat="1" ht="14.1" customHeight="1">
      <c r="B598" s="951"/>
      <c r="C598" s="596" t="s">
        <v>213</v>
      </c>
      <c r="D598" s="657" t="s">
        <v>62</v>
      </c>
      <c r="E598" s="637" t="s">
        <v>85</v>
      </c>
      <c r="F598" s="646"/>
      <c r="G598" s="600" t="s">
        <v>68</v>
      </c>
      <c r="H598" s="639">
        <f>0.045/2</f>
        <v>2.2499999999999999E-2</v>
      </c>
      <c r="I598" s="640">
        <f>'UPH-TNG'!$I$74</f>
        <v>1753500</v>
      </c>
      <c r="J598" s="491">
        <f t="shared" ref="J598:J600" si="40">ROUND(H598*I598,2)</f>
        <v>39453.75</v>
      </c>
      <c r="K598" s="492"/>
      <c r="L598" s="501">
        <v>1</v>
      </c>
      <c r="M598" s="494"/>
      <c r="N598" s="491">
        <f t="shared" ref="N598:N608" si="41">L598*J598</f>
        <v>39453.75</v>
      </c>
      <c r="Q598" s="595"/>
      <c r="R598" s="484"/>
      <c r="S598" s="595"/>
      <c r="T598" s="595"/>
      <c r="U598" s="595"/>
    </row>
    <row r="599" spans="2:21" s="485" customFormat="1" ht="14.1" customHeight="1">
      <c r="B599" s="951"/>
      <c r="C599" s="607"/>
      <c r="D599" s="657"/>
      <c r="E599" s="637" t="s">
        <v>92</v>
      </c>
      <c r="F599" s="646"/>
      <c r="G599" s="600" t="s">
        <v>73</v>
      </c>
      <c r="H599" s="639">
        <v>0.3</v>
      </c>
      <c r="I599" s="640">
        <f>'UPH-TNG'!$I$103</f>
        <v>17400</v>
      </c>
      <c r="J599" s="491">
        <f t="shared" si="40"/>
        <v>5220</v>
      </c>
      <c r="K599" s="496"/>
      <c r="L599" s="501">
        <f>$L$339</f>
        <v>0</v>
      </c>
      <c r="M599" s="494"/>
      <c r="N599" s="491">
        <f t="shared" si="41"/>
        <v>0</v>
      </c>
      <c r="Q599" s="595"/>
      <c r="R599" s="484"/>
      <c r="S599" s="595"/>
      <c r="T599" s="595"/>
      <c r="U599" s="595"/>
    </row>
    <row r="600" spans="2:21" s="485" customFormat="1" ht="14.1" customHeight="1">
      <c r="B600" s="951"/>
      <c r="C600" s="607"/>
      <c r="D600" s="607"/>
      <c r="E600" s="615" t="s">
        <v>87</v>
      </c>
      <c r="F600" s="615"/>
      <c r="G600" s="605" t="s">
        <v>141</v>
      </c>
      <c r="H600" s="616">
        <v>0.1</v>
      </c>
      <c r="I600" s="617">
        <f>'UPH-TNG'!$I$96</f>
        <v>7900</v>
      </c>
      <c r="J600" s="491">
        <f t="shared" si="40"/>
        <v>790</v>
      </c>
      <c r="K600" s="496"/>
      <c r="L600" s="501">
        <f>$L$464</f>
        <v>0</v>
      </c>
      <c r="M600" s="494"/>
      <c r="N600" s="491">
        <f t="shared" si="41"/>
        <v>0</v>
      </c>
      <c r="Q600" s="595"/>
      <c r="R600" s="484"/>
      <c r="S600" s="595"/>
      <c r="T600" s="595"/>
      <c r="U600" s="595"/>
    </row>
    <row r="601" spans="2:21" s="485" customFormat="1" ht="14.1" customHeight="1">
      <c r="B601" s="951"/>
      <c r="C601" s="600"/>
      <c r="D601" s="607"/>
      <c r="E601" s="612"/>
      <c r="F601" s="613"/>
      <c r="G601" s="610"/>
      <c r="H601" s="614"/>
      <c r="I601" s="613"/>
      <c r="J601" s="495"/>
      <c r="K601" s="491">
        <f>SUM(J598:J600)</f>
        <v>45463.75</v>
      </c>
      <c r="L601" s="501"/>
      <c r="M601" s="494"/>
      <c r="N601" s="491">
        <f t="shared" si="41"/>
        <v>0</v>
      </c>
      <c r="Q601" s="595"/>
      <c r="R601" s="484"/>
      <c r="S601" s="595"/>
      <c r="T601" s="595"/>
      <c r="U601" s="595"/>
    </row>
    <row r="602" spans="2:21" s="485" customFormat="1" ht="14.1" customHeight="1">
      <c r="B602" s="951"/>
      <c r="C602" s="596" t="s">
        <v>214</v>
      </c>
      <c r="D602" s="603" t="s">
        <v>63</v>
      </c>
      <c r="E602" s="615" t="s">
        <v>69</v>
      </c>
      <c r="F602" s="615"/>
      <c r="G602" s="605" t="s">
        <v>66</v>
      </c>
      <c r="H602" s="616">
        <v>0.52</v>
      </c>
      <c r="I602" s="632">
        <f>'UPH-TNG'!$I$15</f>
        <v>92000</v>
      </c>
      <c r="J602" s="491">
        <f>ROUND(H602*I602,2)</f>
        <v>47840</v>
      </c>
      <c r="K602" s="492"/>
      <c r="L602" s="493">
        <v>1</v>
      </c>
      <c r="M602" s="493" t="s">
        <v>422</v>
      </c>
      <c r="N602" s="491">
        <f t="shared" si="41"/>
        <v>47840</v>
      </c>
      <c r="Q602" s="595"/>
      <c r="R602" s="484"/>
      <c r="S602" s="595"/>
      <c r="T602" s="595"/>
      <c r="U602" s="595"/>
    </row>
    <row r="603" spans="2:21" s="485" customFormat="1" ht="14.1" customHeight="1">
      <c r="B603" s="951"/>
      <c r="C603" s="607"/>
      <c r="D603" s="607"/>
      <c r="E603" s="615" t="s">
        <v>93</v>
      </c>
      <c r="F603" s="615"/>
      <c r="G603" s="605" t="s">
        <v>66</v>
      </c>
      <c r="H603" s="616">
        <v>0.26</v>
      </c>
      <c r="I603" s="632">
        <f>'UPH-TNG'!$I$24</f>
        <v>98000</v>
      </c>
      <c r="J603" s="491">
        <f>ROUND(H603*I603,2)</f>
        <v>25480</v>
      </c>
      <c r="K603" s="496"/>
      <c r="L603" s="493">
        <v>1</v>
      </c>
      <c r="M603" s="493" t="s">
        <v>422</v>
      </c>
      <c r="N603" s="491">
        <f t="shared" si="41"/>
        <v>25480</v>
      </c>
      <c r="Q603" s="595"/>
      <c r="R603" s="484"/>
      <c r="S603" s="595"/>
      <c r="T603" s="595"/>
      <c r="U603" s="595"/>
    </row>
    <row r="604" spans="2:21" s="485" customFormat="1" ht="14.1" customHeight="1">
      <c r="B604" s="951"/>
      <c r="C604" s="598"/>
      <c r="D604" s="607"/>
      <c r="E604" s="615" t="s">
        <v>71</v>
      </c>
      <c r="F604" s="615"/>
      <c r="G604" s="605" t="s">
        <v>66</v>
      </c>
      <c r="H604" s="616">
        <v>2.5999999999999999E-2</v>
      </c>
      <c r="I604" s="632">
        <f>'UPH-TNG'!$I$19</f>
        <v>104000</v>
      </c>
      <c r="J604" s="491">
        <f>ROUND(H604*I604,2)</f>
        <v>2704</v>
      </c>
      <c r="K604" s="496"/>
      <c r="L604" s="493">
        <v>1</v>
      </c>
      <c r="M604" s="493" t="s">
        <v>422</v>
      </c>
      <c r="N604" s="491">
        <f t="shared" si="41"/>
        <v>2704</v>
      </c>
      <c r="Q604" s="595"/>
      <c r="R604" s="484"/>
      <c r="S604" s="595"/>
      <c r="T604" s="595"/>
      <c r="U604" s="595"/>
    </row>
    <row r="605" spans="2:21" s="485" customFormat="1" ht="14.1" customHeight="1">
      <c r="B605" s="951"/>
      <c r="C605" s="598"/>
      <c r="D605" s="607"/>
      <c r="E605" s="615" t="s">
        <v>65</v>
      </c>
      <c r="F605" s="615"/>
      <c r="G605" s="605" t="s">
        <v>66</v>
      </c>
      <c r="H605" s="616">
        <v>2.5999999999999999E-2</v>
      </c>
      <c r="I605" s="632">
        <f>'UPH-TNG'!$I$20</f>
        <v>98000</v>
      </c>
      <c r="J605" s="491">
        <f>ROUND(H605*I605,2)</f>
        <v>2548</v>
      </c>
      <c r="K605" s="607"/>
      <c r="L605" s="493">
        <v>1</v>
      </c>
      <c r="M605" s="493" t="s">
        <v>422</v>
      </c>
      <c r="N605" s="491">
        <f t="shared" si="41"/>
        <v>2548</v>
      </c>
      <c r="Q605" s="595"/>
      <c r="R605" s="484"/>
      <c r="S605" s="595"/>
      <c r="T605" s="595"/>
      <c r="U605" s="595"/>
    </row>
    <row r="606" spans="2:21" s="485" customFormat="1" ht="14.1" customHeight="1">
      <c r="B606" s="951"/>
      <c r="C606" s="602"/>
      <c r="D606" s="602"/>
      <c r="E606" s="612"/>
      <c r="F606" s="613"/>
      <c r="G606" s="610"/>
      <c r="H606" s="614"/>
      <c r="I606" s="633"/>
      <c r="J606" s="495"/>
      <c r="K606" s="494">
        <f>SUM(J602:J605)</f>
        <v>78572</v>
      </c>
      <c r="L606" s="501"/>
      <c r="M606" s="494"/>
      <c r="N606" s="491">
        <f t="shared" si="41"/>
        <v>0</v>
      </c>
      <c r="Q606" s="595"/>
      <c r="R606" s="484"/>
      <c r="S606" s="595"/>
      <c r="T606" s="595"/>
      <c r="U606" s="595"/>
    </row>
    <row r="607" spans="2:21" s="485" customFormat="1" ht="14.1" customHeight="1">
      <c r="B607" s="951"/>
      <c r="C607" s="598" t="s">
        <v>215</v>
      </c>
      <c r="D607" s="603" t="s">
        <v>212</v>
      </c>
      <c r="E607" s="615"/>
      <c r="F607" s="615"/>
      <c r="G607" s="605"/>
      <c r="H607" s="616"/>
      <c r="I607" s="617"/>
      <c r="J607" s="491"/>
      <c r="K607" s="492"/>
      <c r="L607" s="501"/>
      <c r="M607" s="494"/>
      <c r="N607" s="491">
        <f t="shared" si="41"/>
        <v>0</v>
      </c>
      <c r="Q607" s="595"/>
      <c r="R607" s="484"/>
      <c r="S607" s="595"/>
      <c r="T607" s="595"/>
      <c r="U607" s="595"/>
    </row>
    <row r="608" spans="2:21" s="485" customFormat="1" ht="14.1" customHeight="1">
      <c r="B608" s="951"/>
      <c r="C608" s="600"/>
      <c r="D608" s="602"/>
      <c r="E608" s="612"/>
      <c r="F608" s="613"/>
      <c r="G608" s="610"/>
      <c r="H608" s="614"/>
      <c r="I608" s="618"/>
      <c r="J608" s="495"/>
      <c r="K608" s="494">
        <f>SUM(J607:J607)</f>
        <v>0</v>
      </c>
      <c r="L608" s="501"/>
      <c r="M608" s="494"/>
      <c r="N608" s="491">
        <f t="shared" si="41"/>
        <v>0</v>
      </c>
      <c r="Q608" s="595"/>
      <c r="R608" s="484"/>
      <c r="S608" s="595"/>
      <c r="T608" s="595"/>
      <c r="U608" s="595"/>
    </row>
    <row r="609" spans="2:21" s="485" customFormat="1" ht="14.1" customHeight="1">
      <c r="B609" s="951"/>
      <c r="C609" s="605" t="s">
        <v>216</v>
      </c>
      <c r="D609" s="619" t="s">
        <v>219</v>
      </c>
      <c r="E609" s="613"/>
      <c r="F609" s="613"/>
      <c r="G609" s="610"/>
      <c r="H609" s="614"/>
      <c r="I609" s="618"/>
      <c r="J609" s="497" t="s">
        <v>220</v>
      </c>
      <c r="K609" s="494">
        <f>K601+K606+K608</f>
        <v>124035.75</v>
      </c>
      <c r="L609" s="649">
        <f>N609/K609</f>
        <v>0.95154622759970409</v>
      </c>
      <c r="M609" s="497"/>
      <c r="N609" s="498">
        <f>SUM(N598:N608)</f>
        <v>118025.75</v>
      </c>
      <c r="Q609" s="595"/>
      <c r="R609" s="484"/>
      <c r="S609" s="595"/>
      <c r="T609" s="595"/>
      <c r="U609" s="595"/>
    </row>
    <row r="610" spans="2:21" s="485" customFormat="1" ht="14.1" customHeight="1">
      <c r="B610" s="951"/>
      <c r="C610" s="600" t="s">
        <v>217</v>
      </c>
      <c r="D610" s="619" t="s">
        <v>221</v>
      </c>
      <c r="E610" s="613"/>
      <c r="F610" s="499">
        <f>$F$48</f>
        <v>0.1</v>
      </c>
      <c r="G610" s="605" t="s">
        <v>168</v>
      </c>
      <c r="H610" s="499">
        <f>$H$48</f>
        <v>0.02</v>
      </c>
      <c r="I610" s="621" t="s">
        <v>167</v>
      </c>
      <c r="J610" s="494" t="s">
        <v>216</v>
      </c>
      <c r="K610" s="500">
        <f>ROUND((K609*(F610+H610)),2)</f>
        <v>14884.29</v>
      </c>
      <c r="L610" s="494"/>
      <c r="M610" s="494"/>
      <c r="N610" s="494"/>
      <c r="Q610" s="595"/>
      <c r="R610" s="484"/>
      <c r="S610" s="595"/>
      <c r="T610" s="595"/>
      <c r="U610" s="595"/>
    </row>
    <row r="611" spans="2:21" s="485" customFormat="1" ht="14.1" customHeight="1">
      <c r="B611" s="951"/>
      <c r="C611" s="622" t="s">
        <v>222</v>
      </c>
      <c r="D611" s="623" t="s">
        <v>76</v>
      </c>
      <c r="E611" s="624"/>
      <c r="F611" s="624"/>
      <c r="G611" s="624"/>
      <c r="H611" s="625"/>
      <c r="I611" s="624"/>
      <c r="J611" s="626" t="s">
        <v>226</v>
      </c>
      <c r="K611" s="627">
        <f>SUM(K609:K610)</f>
        <v>138920.04</v>
      </c>
      <c r="L611" s="620"/>
      <c r="M611" s="626"/>
      <c r="N611" s="635"/>
      <c r="Q611" s="595"/>
      <c r="R611" s="484"/>
      <c r="S611" s="595"/>
      <c r="T611" s="595"/>
      <c r="U611" s="595"/>
    </row>
    <row r="612" spans="2:21">
      <c r="Q612" s="595"/>
      <c r="R612" s="484"/>
      <c r="S612" s="595"/>
      <c r="T612" s="595"/>
      <c r="U612" s="595"/>
    </row>
    <row r="613" spans="2:21" s="505" customFormat="1" ht="14.1" customHeight="1">
      <c r="B613" s="951">
        <f>B593+1</f>
        <v>32</v>
      </c>
      <c r="C613" s="488"/>
      <c r="D613" s="485" t="s">
        <v>264</v>
      </c>
      <c r="E613" s="485"/>
      <c r="F613" s="485"/>
      <c r="G613" s="485"/>
      <c r="H613" s="488"/>
      <c r="I613" s="485"/>
      <c r="J613" s="485"/>
      <c r="K613" s="591" t="s">
        <v>265</v>
      </c>
      <c r="L613" s="591"/>
      <c r="M613" s="591"/>
      <c r="N613" s="591"/>
      <c r="O613" s="631" t="str">
        <f>D614</f>
        <v>m2</v>
      </c>
      <c r="P613" s="595">
        <f>K630</f>
        <v>55465.760000000002</v>
      </c>
      <c r="Q613" s="593">
        <f>L628</f>
        <v>0.30511075661813702</v>
      </c>
      <c r="R613" s="484">
        <f>N628</f>
        <v>15110</v>
      </c>
      <c r="S613" s="594"/>
      <c r="T613" s="484"/>
      <c r="U613" s="593"/>
    </row>
    <row r="614" spans="2:21" s="505" customFormat="1" ht="14.1" customHeight="1">
      <c r="B614" s="951"/>
      <c r="C614" s="488"/>
      <c r="D614" s="485" t="s">
        <v>100</v>
      </c>
      <c r="E614" s="485"/>
      <c r="F614" s="485"/>
      <c r="G614" s="485"/>
      <c r="H614" s="488"/>
      <c r="I614" s="485"/>
      <c r="J614" s="485"/>
      <c r="K614" s="485"/>
      <c r="L614" s="485"/>
      <c r="M614" s="485"/>
      <c r="N614" s="485"/>
      <c r="O614" s="631"/>
      <c r="Q614" s="595"/>
      <c r="R614" s="484"/>
      <c r="S614" s="595"/>
      <c r="T614" s="595"/>
      <c r="U614" s="595"/>
    </row>
    <row r="615" spans="2:21" s="505" customFormat="1" ht="14.1" customHeight="1">
      <c r="B615" s="951"/>
      <c r="C615" s="596"/>
      <c r="D615" s="977" t="s">
        <v>55</v>
      </c>
      <c r="E615" s="978"/>
      <c r="F615" s="597"/>
      <c r="G615" s="981" t="s">
        <v>56</v>
      </c>
      <c r="H615" s="981" t="s">
        <v>57</v>
      </c>
      <c r="I615" s="596" t="s">
        <v>58</v>
      </c>
      <c r="J615" s="596" t="s">
        <v>59</v>
      </c>
      <c r="K615" s="596" t="s">
        <v>102</v>
      </c>
      <c r="L615" s="596" t="s">
        <v>418</v>
      </c>
      <c r="M615" s="596" t="s">
        <v>419</v>
      </c>
      <c r="N615" s="596" t="s">
        <v>59</v>
      </c>
      <c r="O615" s="631"/>
      <c r="Q615" s="595"/>
      <c r="R615" s="484"/>
      <c r="S615" s="595"/>
      <c r="T615" s="595"/>
      <c r="U615" s="595"/>
    </row>
    <row r="616" spans="2:21" s="505" customFormat="1" ht="14.1" customHeight="1">
      <c r="B616" s="951"/>
      <c r="C616" s="598" t="s">
        <v>227</v>
      </c>
      <c r="D616" s="979"/>
      <c r="E616" s="980"/>
      <c r="F616" s="599"/>
      <c r="G616" s="982"/>
      <c r="H616" s="982"/>
      <c r="I616" s="598" t="s">
        <v>60</v>
      </c>
      <c r="J616" s="598" t="s">
        <v>61</v>
      </c>
      <c r="K616" s="598" t="s">
        <v>61</v>
      </c>
      <c r="L616" s="598" t="s">
        <v>421</v>
      </c>
      <c r="M616" s="598"/>
      <c r="N616" s="598" t="s">
        <v>423</v>
      </c>
      <c r="O616" s="631"/>
      <c r="Q616" s="595"/>
      <c r="R616" s="484"/>
      <c r="S616" s="595"/>
      <c r="T616" s="595"/>
      <c r="U616" s="595"/>
    </row>
    <row r="617" spans="2:21" s="505" customFormat="1" ht="14.1" customHeight="1">
      <c r="B617" s="951"/>
      <c r="C617" s="600"/>
      <c r="D617" s="969"/>
      <c r="E617" s="970"/>
      <c r="F617" s="601"/>
      <c r="G617" s="973"/>
      <c r="H617" s="973"/>
      <c r="I617" s="600" t="s">
        <v>61</v>
      </c>
      <c r="J617" s="602"/>
      <c r="K617" s="602"/>
      <c r="L617" s="602"/>
      <c r="M617" s="602"/>
      <c r="N617" s="600" t="s">
        <v>61</v>
      </c>
      <c r="O617" s="631"/>
      <c r="Q617" s="595"/>
      <c r="R617" s="484"/>
      <c r="S617" s="595"/>
      <c r="T617" s="595"/>
      <c r="U617" s="595"/>
    </row>
    <row r="618" spans="2:21" s="505" customFormat="1" ht="14.1" customHeight="1">
      <c r="B618" s="951"/>
      <c r="C618" s="596" t="s">
        <v>213</v>
      </c>
      <c r="D618" s="607" t="s">
        <v>62</v>
      </c>
      <c r="E618" s="615" t="s">
        <v>47</v>
      </c>
      <c r="F618" s="615"/>
      <c r="G618" s="605" t="s">
        <v>95</v>
      </c>
      <c r="H618" s="616">
        <v>0.36399999999999999</v>
      </c>
      <c r="I618" s="512">
        <f>'UPH-TNG'!$I$64</f>
        <v>87500</v>
      </c>
      <c r="J618" s="491">
        <f>ROUND(H618*I618,2)</f>
        <v>31850</v>
      </c>
      <c r="K618" s="492"/>
      <c r="L618" s="501">
        <v>0</v>
      </c>
      <c r="M618" s="494"/>
      <c r="N618" s="491">
        <f t="shared" ref="N618:N627" si="42">L618*J618</f>
        <v>0</v>
      </c>
      <c r="O618" s="631"/>
      <c r="Q618" s="595"/>
      <c r="R618" s="484"/>
      <c r="S618" s="595"/>
      <c r="T618" s="595"/>
      <c r="U618" s="595"/>
    </row>
    <row r="619" spans="2:21" s="505" customFormat="1" ht="14.1" customHeight="1">
      <c r="B619" s="951"/>
      <c r="C619" s="598"/>
      <c r="D619" s="607"/>
      <c r="E619" s="615" t="s">
        <v>48</v>
      </c>
      <c r="F619" s="615"/>
      <c r="G619" s="605" t="s">
        <v>73</v>
      </c>
      <c r="H619" s="616">
        <v>0.11</v>
      </c>
      <c r="I619" s="512">
        <f>'UPH-TNG'!$I$102</f>
        <v>23300</v>
      </c>
      <c r="J619" s="491">
        <f>ROUND(H619*I619,2)</f>
        <v>2563</v>
      </c>
      <c r="K619" s="496"/>
      <c r="L619" s="501">
        <v>0</v>
      </c>
      <c r="M619" s="494"/>
      <c r="N619" s="491">
        <f t="shared" si="42"/>
        <v>0</v>
      </c>
      <c r="O619" s="631"/>
      <c r="Q619" s="595"/>
      <c r="R619" s="484"/>
      <c r="S619" s="595"/>
      <c r="T619" s="595"/>
      <c r="U619" s="595"/>
    </row>
    <row r="620" spans="2:21" s="505" customFormat="1" ht="14.1" customHeight="1">
      <c r="B620" s="951"/>
      <c r="C620" s="600"/>
      <c r="D620" s="607"/>
      <c r="E620" s="612"/>
      <c r="F620" s="613"/>
      <c r="G620" s="610"/>
      <c r="H620" s="614"/>
      <c r="I620" s="513"/>
      <c r="J620" s="495"/>
      <c r="K620" s="491">
        <f>SUM(J618:J619)</f>
        <v>34413</v>
      </c>
      <c r="L620" s="501"/>
      <c r="M620" s="494"/>
      <c r="N620" s="491">
        <f t="shared" si="42"/>
        <v>0</v>
      </c>
      <c r="O620" s="631"/>
      <c r="Q620" s="595"/>
      <c r="R620" s="484"/>
      <c r="S620" s="595"/>
      <c r="T620" s="595"/>
      <c r="U620" s="595"/>
    </row>
    <row r="621" spans="2:21" s="505" customFormat="1" ht="14.1" customHeight="1">
      <c r="B621" s="951"/>
      <c r="C621" s="596" t="s">
        <v>214</v>
      </c>
      <c r="D621" s="603" t="s">
        <v>63</v>
      </c>
      <c r="E621" s="615" t="s">
        <v>69</v>
      </c>
      <c r="F621" s="615"/>
      <c r="G621" s="605" t="s">
        <v>66</v>
      </c>
      <c r="H621" s="616">
        <v>0.1</v>
      </c>
      <c r="I621" s="512">
        <f>'UPH-TNG'!$I$15</f>
        <v>92000</v>
      </c>
      <c r="J621" s="491">
        <f>ROUND(H621*I621,2)</f>
        <v>9200</v>
      </c>
      <c r="K621" s="492"/>
      <c r="L621" s="493">
        <v>1</v>
      </c>
      <c r="M621" s="493" t="s">
        <v>422</v>
      </c>
      <c r="N621" s="491">
        <f t="shared" si="42"/>
        <v>9200</v>
      </c>
      <c r="O621" s="631"/>
      <c r="Q621" s="595"/>
      <c r="R621" s="484"/>
      <c r="S621" s="595"/>
      <c r="T621" s="595"/>
      <c r="U621" s="595"/>
    </row>
    <row r="622" spans="2:21" s="505" customFormat="1" ht="14.1" customHeight="1">
      <c r="B622" s="951"/>
      <c r="C622" s="598"/>
      <c r="D622" s="607"/>
      <c r="E622" s="615" t="s">
        <v>98</v>
      </c>
      <c r="F622" s="615"/>
      <c r="G622" s="605" t="s">
        <v>66</v>
      </c>
      <c r="H622" s="616">
        <v>0.05</v>
      </c>
      <c r="I622" s="512">
        <f>'UPH-TNG'!$I$24</f>
        <v>98000</v>
      </c>
      <c r="J622" s="491">
        <f>ROUND(H622*I622,2)</f>
        <v>4900</v>
      </c>
      <c r="K622" s="496"/>
      <c r="L622" s="493">
        <v>1</v>
      </c>
      <c r="M622" s="493" t="s">
        <v>422</v>
      </c>
      <c r="N622" s="491">
        <f t="shared" si="42"/>
        <v>4900</v>
      </c>
      <c r="O622" s="631"/>
      <c r="Q622" s="595"/>
      <c r="R622" s="484"/>
      <c r="S622" s="595"/>
      <c r="T622" s="595"/>
      <c r="U622" s="595"/>
    </row>
    <row r="623" spans="2:21" s="505" customFormat="1" ht="14.1" customHeight="1">
      <c r="B623" s="951"/>
      <c r="C623" s="598"/>
      <c r="D623" s="607"/>
      <c r="E623" s="615" t="s">
        <v>238</v>
      </c>
      <c r="F623" s="615"/>
      <c r="G623" s="605" t="s">
        <v>66</v>
      </c>
      <c r="H623" s="616">
        <v>5.0000000000000001E-3</v>
      </c>
      <c r="I623" s="512">
        <f>'UPH-TNG'!$I$19</f>
        <v>104000</v>
      </c>
      <c r="J623" s="491">
        <f>ROUND(H623*I623,2)</f>
        <v>520</v>
      </c>
      <c r="K623" s="496"/>
      <c r="L623" s="493">
        <v>1</v>
      </c>
      <c r="M623" s="493" t="s">
        <v>422</v>
      </c>
      <c r="N623" s="491">
        <f t="shared" si="42"/>
        <v>520</v>
      </c>
      <c r="O623" s="631"/>
      <c r="Q623" s="595"/>
      <c r="R623" s="484"/>
      <c r="S623" s="595"/>
      <c r="T623" s="595"/>
      <c r="U623" s="595"/>
    </row>
    <row r="624" spans="2:21" s="505" customFormat="1" ht="14.1" customHeight="1">
      <c r="B624" s="951"/>
      <c r="C624" s="598"/>
      <c r="D624" s="607"/>
      <c r="E624" s="615" t="s">
        <v>65</v>
      </c>
      <c r="F624" s="615"/>
      <c r="G624" s="605" t="s">
        <v>66</v>
      </c>
      <c r="H624" s="616">
        <v>5.0000000000000001E-3</v>
      </c>
      <c r="I624" s="512">
        <f>'UPH-TNG'!$I$20</f>
        <v>98000</v>
      </c>
      <c r="J624" s="491">
        <f>ROUND(H624*I624,2)</f>
        <v>490</v>
      </c>
      <c r="K624" s="607"/>
      <c r="L624" s="493">
        <v>1</v>
      </c>
      <c r="M624" s="493" t="s">
        <v>422</v>
      </c>
      <c r="N624" s="491">
        <f t="shared" si="42"/>
        <v>490</v>
      </c>
      <c r="O624" s="631"/>
      <c r="Q624" s="595"/>
      <c r="R624" s="484"/>
      <c r="S624" s="595"/>
      <c r="T624" s="595"/>
      <c r="U624" s="595"/>
    </row>
    <row r="625" spans="2:21" s="505" customFormat="1" ht="14.1" customHeight="1">
      <c r="B625" s="951"/>
      <c r="C625" s="600"/>
      <c r="D625" s="602"/>
      <c r="E625" s="612"/>
      <c r="F625" s="613"/>
      <c r="G625" s="610"/>
      <c r="H625" s="614"/>
      <c r="I625" s="513"/>
      <c r="J625" s="495"/>
      <c r="K625" s="494">
        <f>SUM(J621:J624)</f>
        <v>15110</v>
      </c>
      <c r="L625" s="501"/>
      <c r="M625" s="494"/>
      <c r="N625" s="491">
        <f t="shared" si="42"/>
        <v>0</v>
      </c>
      <c r="O625" s="631"/>
      <c r="Q625" s="595"/>
      <c r="R625" s="484"/>
      <c r="S625" s="595"/>
      <c r="T625" s="595"/>
      <c r="U625" s="595"/>
    </row>
    <row r="626" spans="2:21" s="505" customFormat="1" ht="14.1" customHeight="1">
      <c r="B626" s="951"/>
      <c r="C626" s="598" t="s">
        <v>215</v>
      </c>
      <c r="D626" s="603" t="s">
        <v>212</v>
      </c>
      <c r="E626" s="615"/>
      <c r="F626" s="615"/>
      <c r="G626" s="605"/>
      <c r="H626" s="616"/>
      <c r="I626" s="617"/>
      <c r="J626" s="491"/>
      <c r="K626" s="492"/>
      <c r="L626" s="501"/>
      <c r="M626" s="494"/>
      <c r="N626" s="491">
        <f t="shared" si="42"/>
        <v>0</v>
      </c>
      <c r="O626" s="631"/>
      <c r="Q626" s="595"/>
      <c r="R626" s="484"/>
      <c r="S626" s="595"/>
      <c r="T626" s="595"/>
      <c r="U626" s="595"/>
    </row>
    <row r="627" spans="2:21" s="505" customFormat="1" ht="14.1" customHeight="1">
      <c r="B627" s="951"/>
      <c r="C627" s="600"/>
      <c r="D627" s="602"/>
      <c r="E627" s="612"/>
      <c r="F627" s="613"/>
      <c r="G627" s="610"/>
      <c r="H627" s="614"/>
      <c r="I627" s="618"/>
      <c r="J627" s="495"/>
      <c r="K627" s="494">
        <f>SUM(J626:J626)</f>
        <v>0</v>
      </c>
      <c r="L627" s="501"/>
      <c r="M627" s="494"/>
      <c r="N627" s="491">
        <f t="shared" si="42"/>
        <v>0</v>
      </c>
      <c r="O627" s="631"/>
      <c r="Q627" s="595"/>
      <c r="R627" s="484"/>
      <c r="S627" s="595"/>
      <c r="T627" s="595"/>
      <c r="U627" s="595"/>
    </row>
    <row r="628" spans="2:21" s="505" customFormat="1" ht="14.1" customHeight="1">
      <c r="B628" s="951"/>
      <c r="C628" s="605" t="s">
        <v>216</v>
      </c>
      <c r="D628" s="619" t="s">
        <v>219</v>
      </c>
      <c r="E628" s="613"/>
      <c r="F628" s="613"/>
      <c r="G628" s="610"/>
      <c r="H628" s="614"/>
      <c r="I628" s="618"/>
      <c r="J628" s="497" t="s">
        <v>220</v>
      </c>
      <c r="K628" s="494">
        <f>K620+K625+K627</f>
        <v>49523</v>
      </c>
      <c r="L628" s="649">
        <f>N628/K628</f>
        <v>0.30511075661813702</v>
      </c>
      <c r="M628" s="497"/>
      <c r="N628" s="498">
        <f>SUM(N617:N627)</f>
        <v>15110</v>
      </c>
      <c r="O628" s="631"/>
      <c r="Q628" s="595"/>
      <c r="R628" s="484"/>
      <c r="S628" s="595"/>
      <c r="T628" s="595"/>
      <c r="U628" s="595"/>
    </row>
    <row r="629" spans="2:21" s="505" customFormat="1" ht="14.1" customHeight="1">
      <c r="B629" s="951"/>
      <c r="C629" s="600" t="s">
        <v>217</v>
      </c>
      <c r="D629" s="619" t="s">
        <v>221</v>
      </c>
      <c r="E629" s="613"/>
      <c r="F629" s="499">
        <f>$F$48</f>
        <v>0.1</v>
      </c>
      <c r="G629" s="605" t="s">
        <v>168</v>
      </c>
      <c r="H629" s="499">
        <f>$H$48</f>
        <v>0.02</v>
      </c>
      <c r="I629" s="621" t="s">
        <v>167</v>
      </c>
      <c r="J629" s="494" t="s">
        <v>216</v>
      </c>
      <c r="K629" s="500">
        <f>ROUND((K628*(F629+H629)),2)</f>
        <v>5942.76</v>
      </c>
      <c r="L629" s="494"/>
      <c r="M629" s="494"/>
      <c r="N629" s="494"/>
      <c r="O629" s="631"/>
      <c r="Q629" s="595"/>
      <c r="R629" s="484"/>
      <c r="S629" s="595"/>
      <c r="T629" s="595"/>
      <c r="U629" s="595"/>
    </row>
    <row r="630" spans="2:21" s="505" customFormat="1" ht="14.1" customHeight="1">
      <c r="B630" s="951"/>
      <c r="C630" s="622" t="s">
        <v>222</v>
      </c>
      <c r="D630" s="623" t="s">
        <v>76</v>
      </c>
      <c r="E630" s="624"/>
      <c r="F630" s="624"/>
      <c r="G630" s="624"/>
      <c r="H630" s="625"/>
      <c r="I630" s="624"/>
      <c r="J630" s="626" t="s">
        <v>226</v>
      </c>
      <c r="K630" s="627">
        <f>SUM(K628:K629)</f>
        <v>55465.760000000002</v>
      </c>
      <c r="L630" s="620"/>
      <c r="M630" s="626"/>
      <c r="N630" s="635"/>
      <c r="O630" s="631"/>
      <c r="Q630" s="595"/>
      <c r="R630" s="484"/>
      <c r="S630" s="595"/>
      <c r="T630" s="595"/>
      <c r="U630" s="595"/>
    </row>
    <row r="631" spans="2:21">
      <c r="Q631" s="595"/>
      <c r="R631" s="484"/>
      <c r="S631" s="595"/>
      <c r="T631" s="595"/>
      <c r="U631" s="595"/>
    </row>
    <row r="632" spans="2:21" s="505" customFormat="1" ht="14.1" hidden="1" customHeight="1">
      <c r="B632" s="951">
        <f>B613+1</f>
        <v>33</v>
      </c>
      <c r="C632" s="488"/>
      <c r="D632" s="485" t="s">
        <v>577</v>
      </c>
      <c r="E632" s="485"/>
      <c r="F632" s="485"/>
      <c r="G632" s="485"/>
      <c r="H632" s="488"/>
      <c r="I632" s="485"/>
      <c r="J632" s="485"/>
      <c r="K632" s="591" t="s">
        <v>239</v>
      </c>
      <c r="L632" s="591"/>
      <c r="M632" s="591"/>
      <c r="N632" s="591"/>
      <c r="O632" s="631" t="str">
        <f>D633</f>
        <v>m2</v>
      </c>
      <c r="P632" s="595">
        <f>K649</f>
        <v>178553.76</v>
      </c>
      <c r="Q632" s="593">
        <f>L647</f>
        <v>0.43265400851821884</v>
      </c>
      <c r="R632" s="484">
        <f>N647</f>
        <v>68975</v>
      </c>
      <c r="S632" s="594"/>
      <c r="T632" s="484"/>
      <c r="U632" s="593"/>
    </row>
    <row r="633" spans="2:21" s="505" customFormat="1" ht="14.1" hidden="1" customHeight="1">
      <c r="B633" s="951"/>
      <c r="C633" s="488"/>
      <c r="D633" s="485" t="s">
        <v>100</v>
      </c>
      <c r="E633" s="485"/>
      <c r="F633" s="485"/>
      <c r="G633" s="485"/>
      <c r="H633" s="488"/>
      <c r="I633" s="485"/>
      <c r="J633" s="485"/>
      <c r="K633" s="485"/>
      <c r="L633" s="485"/>
      <c r="M633" s="485"/>
      <c r="N633" s="485"/>
      <c r="O633" s="631"/>
      <c r="Q633" s="595"/>
      <c r="R633" s="484"/>
      <c r="S633" s="595"/>
      <c r="T633" s="595"/>
      <c r="U633" s="595"/>
    </row>
    <row r="634" spans="2:21" s="505" customFormat="1" ht="14.1" hidden="1" customHeight="1">
      <c r="B634" s="951"/>
      <c r="C634" s="596"/>
      <c r="D634" s="977" t="s">
        <v>55</v>
      </c>
      <c r="E634" s="978"/>
      <c r="F634" s="597"/>
      <c r="G634" s="981" t="s">
        <v>56</v>
      </c>
      <c r="H634" s="981" t="s">
        <v>57</v>
      </c>
      <c r="I634" s="596" t="s">
        <v>58</v>
      </c>
      <c r="J634" s="596" t="s">
        <v>59</v>
      </c>
      <c r="K634" s="596" t="s">
        <v>102</v>
      </c>
      <c r="L634" s="596" t="s">
        <v>418</v>
      </c>
      <c r="M634" s="596" t="s">
        <v>419</v>
      </c>
      <c r="N634" s="596" t="s">
        <v>59</v>
      </c>
      <c r="O634" s="631"/>
      <c r="Q634" s="595"/>
      <c r="R634" s="484"/>
      <c r="S634" s="595"/>
      <c r="T634" s="595"/>
      <c r="U634" s="595"/>
    </row>
    <row r="635" spans="2:21" s="505" customFormat="1" ht="14.1" hidden="1" customHeight="1">
      <c r="B635" s="951"/>
      <c r="C635" s="598" t="s">
        <v>227</v>
      </c>
      <c r="D635" s="979"/>
      <c r="E635" s="980"/>
      <c r="F635" s="599"/>
      <c r="G635" s="982"/>
      <c r="H635" s="982"/>
      <c r="I635" s="598" t="s">
        <v>60</v>
      </c>
      <c r="J635" s="598" t="s">
        <v>61</v>
      </c>
      <c r="K635" s="598" t="s">
        <v>61</v>
      </c>
      <c r="L635" s="598" t="s">
        <v>421</v>
      </c>
      <c r="M635" s="598"/>
      <c r="N635" s="598" t="s">
        <v>423</v>
      </c>
      <c r="O635" s="631"/>
      <c r="Q635" s="595"/>
      <c r="R635" s="484"/>
      <c r="S635" s="595"/>
      <c r="T635" s="595"/>
      <c r="U635" s="595"/>
    </row>
    <row r="636" spans="2:21" s="505" customFormat="1" ht="14.1" hidden="1" customHeight="1">
      <c r="B636" s="951"/>
      <c r="C636" s="600"/>
      <c r="D636" s="969"/>
      <c r="E636" s="970"/>
      <c r="F636" s="601"/>
      <c r="G636" s="973"/>
      <c r="H636" s="973"/>
      <c r="I636" s="600" t="s">
        <v>61</v>
      </c>
      <c r="J636" s="602"/>
      <c r="K636" s="602"/>
      <c r="L636" s="602"/>
      <c r="M636" s="602"/>
      <c r="N636" s="600" t="s">
        <v>61</v>
      </c>
      <c r="O636" s="631"/>
      <c r="Q636" s="595"/>
      <c r="R636" s="484"/>
      <c r="S636" s="595"/>
      <c r="T636" s="595"/>
      <c r="U636" s="595"/>
    </row>
    <row r="637" spans="2:21" s="505" customFormat="1" ht="14.1" hidden="1" customHeight="1">
      <c r="B637" s="951"/>
      <c r="C637" s="596" t="s">
        <v>213</v>
      </c>
      <c r="D637" s="607" t="s">
        <v>62</v>
      </c>
      <c r="E637" s="615" t="s">
        <v>578</v>
      </c>
      <c r="F637" s="615"/>
      <c r="G637" s="605" t="s">
        <v>100</v>
      </c>
      <c r="H637" s="616">
        <v>1.05</v>
      </c>
      <c r="I637" s="512">
        <f>'UPH-TNG'!$I$82</f>
        <v>135000</v>
      </c>
      <c r="J637" s="491">
        <f>ROUND(H637*I637,2)</f>
        <v>141750</v>
      </c>
      <c r="K637" s="492"/>
      <c r="L637" s="501">
        <v>0.38</v>
      </c>
      <c r="M637" s="494" t="s">
        <v>429</v>
      </c>
      <c r="N637" s="491">
        <f t="shared" ref="N637:N646" si="43">L637*J637</f>
        <v>53865</v>
      </c>
      <c r="O637" s="631"/>
      <c r="Q637" s="595"/>
      <c r="R637" s="484"/>
      <c r="S637" s="595"/>
      <c r="T637" s="595"/>
      <c r="U637" s="595"/>
    </row>
    <row r="638" spans="2:21" s="505" customFormat="1" ht="14.1" hidden="1" customHeight="1">
      <c r="B638" s="951"/>
      <c r="C638" s="598"/>
      <c r="D638" s="607"/>
      <c r="E638" s="615" t="s">
        <v>48</v>
      </c>
      <c r="F638" s="615"/>
      <c r="G638" s="605" t="s">
        <v>73</v>
      </c>
      <c r="H638" s="616">
        <v>0.11</v>
      </c>
      <c r="I638" s="512">
        <f>'UPH-TNG'!$I$102</f>
        <v>23300</v>
      </c>
      <c r="J638" s="491">
        <f>ROUND(H638*I638,2)</f>
        <v>2563</v>
      </c>
      <c r="K638" s="496"/>
      <c r="L638" s="501">
        <v>0</v>
      </c>
      <c r="M638" s="494"/>
      <c r="N638" s="491">
        <f t="shared" si="43"/>
        <v>0</v>
      </c>
      <c r="O638" s="631"/>
      <c r="Q638" s="595"/>
      <c r="R638" s="484"/>
      <c r="S638" s="595"/>
      <c r="T638" s="595"/>
      <c r="U638" s="595"/>
    </row>
    <row r="639" spans="2:21" s="505" customFormat="1" ht="14.1" hidden="1" customHeight="1">
      <c r="B639" s="951"/>
      <c r="C639" s="600"/>
      <c r="D639" s="607"/>
      <c r="E639" s="612"/>
      <c r="F639" s="613"/>
      <c r="G639" s="610"/>
      <c r="H639" s="614"/>
      <c r="I639" s="513"/>
      <c r="J639" s="495"/>
      <c r="K639" s="491">
        <f>SUM(J637:J638)</f>
        <v>144313</v>
      </c>
      <c r="L639" s="501"/>
      <c r="M639" s="494"/>
      <c r="N639" s="491">
        <f t="shared" si="43"/>
        <v>0</v>
      </c>
      <c r="O639" s="631"/>
      <c r="Q639" s="595"/>
      <c r="R639" s="484"/>
      <c r="S639" s="595"/>
      <c r="T639" s="595"/>
      <c r="U639" s="595"/>
    </row>
    <row r="640" spans="2:21" s="505" customFormat="1" ht="14.1" hidden="1" customHeight="1">
      <c r="B640" s="951"/>
      <c r="C640" s="596" t="s">
        <v>214</v>
      </c>
      <c r="D640" s="603" t="s">
        <v>63</v>
      </c>
      <c r="E640" s="615" t="s">
        <v>69</v>
      </c>
      <c r="F640" s="615"/>
      <c r="G640" s="605" t="s">
        <v>66</v>
      </c>
      <c r="H640" s="616">
        <v>0.1</v>
      </c>
      <c r="I640" s="512">
        <f>'UPH-TNG'!$I$15</f>
        <v>92000</v>
      </c>
      <c r="J640" s="491">
        <f>ROUND(H640*I640,2)</f>
        <v>9200</v>
      </c>
      <c r="K640" s="492"/>
      <c r="L640" s="493">
        <v>1</v>
      </c>
      <c r="M640" s="493" t="s">
        <v>422</v>
      </c>
      <c r="N640" s="491">
        <f t="shared" si="43"/>
        <v>9200</v>
      </c>
      <c r="O640" s="631"/>
      <c r="Q640" s="595"/>
      <c r="R640" s="484"/>
      <c r="S640" s="595"/>
      <c r="T640" s="595"/>
      <c r="U640" s="595"/>
    </row>
    <row r="641" spans="2:21" s="505" customFormat="1" ht="14.1" hidden="1" customHeight="1">
      <c r="B641" s="951"/>
      <c r="C641" s="598"/>
      <c r="D641" s="607"/>
      <c r="E641" s="615" t="s">
        <v>98</v>
      </c>
      <c r="F641" s="615"/>
      <c r="G641" s="605" t="s">
        <v>66</v>
      </c>
      <c r="H641" s="616">
        <v>0.05</v>
      </c>
      <c r="I641" s="512">
        <f>'UPH-TNG'!$I$24</f>
        <v>98000</v>
      </c>
      <c r="J641" s="491">
        <f>ROUND(H641*I641,2)</f>
        <v>4900</v>
      </c>
      <c r="K641" s="496"/>
      <c r="L641" s="493">
        <v>1</v>
      </c>
      <c r="M641" s="493" t="s">
        <v>422</v>
      </c>
      <c r="N641" s="491">
        <f t="shared" si="43"/>
        <v>4900</v>
      </c>
      <c r="O641" s="631"/>
      <c r="Q641" s="595"/>
      <c r="R641" s="484"/>
      <c r="S641" s="595"/>
      <c r="T641" s="595"/>
      <c r="U641" s="595"/>
    </row>
    <row r="642" spans="2:21" s="505" customFormat="1" ht="14.1" hidden="1" customHeight="1">
      <c r="B642" s="951"/>
      <c r="C642" s="598"/>
      <c r="D642" s="607"/>
      <c r="E642" s="615" t="s">
        <v>238</v>
      </c>
      <c r="F642" s="615"/>
      <c r="G642" s="605" t="s">
        <v>66</v>
      </c>
      <c r="H642" s="616">
        <v>5.0000000000000001E-3</v>
      </c>
      <c r="I642" s="512">
        <f>'UPH-TNG'!$I$19</f>
        <v>104000</v>
      </c>
      <c r="J642" s="491">
        <f>ROUND(H642*I642,2)</f>
        <v>520</v>
      </c>
      <c r="K642" s="496"/>
      <c r="L642" s="493">
        <v>1</v>
      </c>
      <c r="M642" s="493" t="s">
        <v>422</v>
      </c>
      <c r="N642" s="491">
        <f t="shared" si="43"/>
        <v>520</v>
      </c>
      <c r="O642" s="631"/>
      <c r="Q642" s="595"/>
      <c r="R642" s="484"/>
      <c r="S642" s="595"/>
      <c r="T642" s="595"/>
      <c r="U642" s="595"/>
    </row>
    <row r="643" spans="2:21" s="505" customFormat="1" ht="14.1" hidden="1" customHeight="1">
      <c r="B643" s="951"/>
      <c r="C643" s="598"/>
      <c r="D643" s="607"/>
      <c r="E643" s="615" t="s">
        <v>65</v>
      </c>
      <c r="F643" s="615"/>
      <c r="G643" s="605" t="s">
        <v>66</v>
      </c>
      <c r="H643" s="616">
        <v>5.0000000000000001E-3</v>
      </c>
      <c r="I643" s="512">
        <f>'UPH-TNG'!$I$20</f>
        <v>98000</v>
      </c>
      <c r="J643" s="491">
        <f>ROUND(H643*I643,2)</f>
        <v>490</v>
      </c>
      <c r="K643" s="607"/>
      <c r="L643" s="493">
        <v>1</v>
      </c>
      <c r="M643" s="493" t="s">
        <v>422</v>
      </c>
      <c r="N643" s="491">
        <f t="shared" si="43"/>
        <v>490</v>
      </c>
      <c r="O643" s="631"/>
      <c r="Q643" s="595"/>
      <c r="R643" s="484"/>
      <c r="S643" s="595"/>
      <c r="T643" s="595"/>
      <c r="U643" s="595"/>
    </row>
    <row r="644" spans="2:21" s="505" customFormat="1" ht="14.1" hidden="1" customHeight="1">
      <c r="B644" s="951"/>
      <c r="C644" s="600"/>
      <c r="D644" s="602"/>
      <c r="E644" s="612"/>
      <c r="F644" s="613"/>
      <c r="G644" s="610"/>
      <c r="H644" s="614"/>
      <c r="I644" s="513"/>
      <c r="J644" s="495"/>
      <c r="K644" s="494">
        <f>SUM(J640:J643)</f>
        <v>15110</v>
      </c>
      <c r="L644" s="501"/>
      <c r="M644" s="494"/>
      <c r="N644" s="491">
        <f t="shared" si="43"/>
        <v>0</v>
      </c>
      <c r="O644" s="631"/>
      <c r="Q644" s="595"/>
      <c r="R644" s="484"/>
      <c r="S644" s="595"/>
      <c r="T644" s="595"/>
      <c r="U644" s="595"/>
    </row>
    <row r="645" spans="2:21" s="505" customFormat="1" ht="14.1" hidden="1" customHeight="1">
      <c r="B645" s="951"/>
      <c r="C645" s="598" t="s">
        <v>215</v>
      </c>
      <c r="D645" s="603" t="s">
        <v>212</v>
      </c>
      <c r="E645" s="615"/>
      <c r="F645" s="615"/>
      <c r="G645" s="605"/>
      <c r="H645" s="616"/>
      <c r="I645" s="617"/>
      <c r="J645" s="491"/>
      <c r="K645" s="492"/>
      <c r="L645" s="501"/>
      <c r="M645" s="494"/>
      <c r="N645" s="491">
        <f t="shared" si="43"/>
        <v>0</v>
      </c>
      <c r="O645" s="631"/>
      <c r="Q645" s="595"/>
      <c r="R645" s="484"/>
      <c r="S645" s="595"/>
      <c r="T645" s="595"/>
      <c r="U645" s="595"/>
    </row>
    <row r="646" spans="2:21" s="505" customFormat="1" ht="14.1" hidden="1" customHeight="1">
      <c r="B646" s="951"/>
      <c r="C646" s="600"/>
      <c r="D646" s="602"/>
      <c r="E646" s="612"/>
      <c r="F646" s="613"/>
      <c r="G646" s="610"/>
      <c r="H646" s="614"/>
      <c r="I646" s="618"/>
      <c r="J646" s="495"/>
      <c r="K646" s="494">
        <f>SUM(J645:J645)</f>
        <v>0</v>
      </c>
      <c r="L646" s="501"/>
      <c r="M646" s="494"/>
      <c r="N646" s="491">
        <f t="shared" si="43"/>
        <v>0</v>
      </c>
      <c r="O646" s="631"/>
      <c r="Q646" s="595"/>
      <c r="R646" s="484"/>
      <c r="S646" s="595"/>
      <c r="T646" s="595"/>
      <c r="U646" s="595"/>
    </row>
    <row r="647" spans="2:21" s="505" customFormat="1" ht="14.1" hidden="1" customHeight="1">
      <c r="B647" s="951"/>
      <c r="C647" s="605" t="s">
        <v>216</v>
      </c>
      <c r="D647" s="619" t="s">
        <v>219</v>
      </c>
      <c r="E647" s="613"/>
      <c r="F647" s="613"/>
      <c r="G647" s="610"/>
      <c r="H647" s="614"/>
      <c r="I647" s="618"/>
      <c r="J647" s="497" t="s">
        <v>220</v>
      </c>
      <c r="K647" s="494">
        <f>K639+K644+K646</f>
        <v>159423</v>
      </c>
      <c r="L647" s="649">
        <f>N647/K647</f>
        <v>0.43265400851821884</v>
      </c>
      <c r="M647" s="497"/>
      <c r="N647" s="498">
        <f>SUM(N636:N646)</f>
        <v>68975</v>
      </c>
      <c r="O647" s="631"/>
      <c r="Q647" s="595"/>
      <c r="R647" s="484"/>
      <c r="S647" s="595"/>
      <c r="T647" s="595"/>
      <c r="U647" s="595"/>
    </row>
    <row r="648" spans="2:21" s="505" customFormat="1" ht="14.1" hidden="1" customHeight="1">
      <c r="B648" s="951"/>
      <c r="C648" s="600" t="s">
        <v>217</v>
      </c>
      <c r="D648" s="619" t="s">
        <v>221</v>
      </c>
      <c r="E648" s="613"/>
      <c r="F648" s="499">
        <f>$F$48</f>
        <v>0.1</v>
      </c>
      <c r="G648" s="605" t="s">
        <v>168</v>
      </c>
      <c r="H648" s="499">
        <f>$H$48</f>
        <v>0.02</v>
      </c>
      <c r="I648" s="621" t="s">
        <v>167</v>
      </c>
      <c r="J648" s="494" t="s">
        <v>216</v>
      </c>
      <c r="K648" s="500">
        <f>ROUND((K647*(F648+H648)),2)</f>
        <v>19130.759999999998</v>
      </c>
      <c r="L648" s="494"/>
      <c r="M648" s="494"/>
      <c r="N648" s="494"/>
      <c r="O648" s="631"/>
      <c r="Q648" s="595"/>
      <c r="R648" s="484"/>
      <c r="S648" s="595"/>
      <c r="T648" s="595"/>
      <c r="U648" s="595"/>
    </row>
    <row r="649" spans="2:21" s="505" customFormat="1" ht="14.1" hidden="1" customHeight="1">
      <c r="B649" s="951"/>
      <c r="C649" s="622" t="s">
        <v>222</v>
      </c>
      <c r="D649" s="623" t="s">
        <v>76</v>
      </c>
      <c r="E649" s="624"/>
      <c r="F649" s="624"/>
      <c r="G649" s="624"/>
      <c r="H649" s="625"/>
      <c r="I649" s="624"/>
      <c r="J649" s="626" t="s">
        <v>226</v>
      </c>
      <c r="K649" s="627">
        <f>SUM(K647:K648)</f>
        <v>178553.76</v>
      </c>
      <c r="L649" s="620"/>
      <c r="M649" s="626"/>
      <c r="N649" s="635"/>
      <c r="O649" s="631"/>
      <c r="Q649" s="595"/>
      <c r="R649" s="484"/>
      <c r="S649" s="595"/>
      <c r="T649" s="595"/>
      <c r="U649" s="595"/>
    </row>
    <row r="650" spans="2:21" hidden="1">
      <c r="Q650" s="595"/>
      <c r="R650" s="484"/>
      <c r="S650" s="595"/>
      <c r="T650" s="595"/>
      <c r="U650" s="595"/>
    </row>
    <row r="651" spans="2:21" s="505" customFormat="1" ht="14.1" hidden="1" customHeight="1">
      <c r="B651" s="951">
        <f>B632+1</f>
        <v>34</v>
      </c>
      <c r="C651" s="488"/>
      <c r="D651" s="485" t="s">
        <v>225</v>
      </c>
      <c r="E651" s="485"/>
      <c r="F651" s="485"/>
      <c r="G651" s="485"/>
      <c r="H651" s="488"/>
      <c r="I651" s="485"/>
      <c r="J651" s="485"/>
      <c r="K651" s="591" t="s">
        <v>305</v>
      </c>
      <c r="L651" s="591"/>
      <c r="M651" s="591"/>
      <c r="N651" s="591"/>
      <c r="O651" s="631" t="str">
        <f>D652</f>
        <v>m'</v>
      </c>
      <c r="P651" s="595">
        <f>K668</f>
        <v>30932.16</v>
      </c>
      <c r="Q651" s="593">
        <f>L666</f>
        <v>0.44601346947642839</v>
      </c>
      <c r="R651" s="484">
        <f>N666</f>
        <v>12318</v>
      </c>
      <c r="S651" s="594"/>
      <c r="T651" s="484"/>
      <c r="U651" s="593"/>
    </row>
    <row r="652" spans="2:21" s="505" customFormat="1" ht="14.1" hidden="1" customHeight="1">
      <c r="B652" s="951"/>
      <c r="C652" s="488"/>
      <c r="D652" s="485" t="s">
        <v>32</v>
      </c>
      <c r="E652" s="485"/>
      <c r="F652" s="485"/>
      <c r="G652" s="485"/>
      <c r="H652" s="488"/>
      <c r="I652" s="485"/>
      <c r="J652" s="485"/>
      <c r="K652" s="485"/>
      <c r="L652" s="485"/>
      <c r="M652" s="485"/>
      <c r="N652" s="485"/>
      <c r="O652" s="631"/>
      <c r="Q652" s="595"/>
      <c r="R652" s="484"/>
      <c r="S652" s="595"/>
      <c r="T652" s="595"/>
      <c r="U652" s="595"/>
    </row>
    <row r="653" spans="2:21" s="505" customFormat="1" ht="14.1" hidden="1" customHeight="1">
      <c r="B653" s="951"/>
      <c r="C653" s="596"/>
      <c r="D653" s="977" t="s">
        <v>55</v>
      </c>
      <c r="E653" s="978"/>
      <c r="F653" s="597"/>
      <c r="G653" s="981" t="s">
        <v>56</v>
      </c>
      <c r="H653" s="981" t="s">
        <v>57</v>
      </c>
      <c r="I653" s="596" t="s">
        <v>58</v>
      </c>
      <c r="J653" s="596" t="s">
        <v>59</v>
      </c>
      <c r="K653" s="596" t="s">
        <v>102</v>
      </c>
      <c r="L653" s="596" t="s">
        <v>418</v>
      </c>
      <c r="M653" s="596" t="s">
        <v>419</v>
      </c>
      <c r="N653" s="596" t="s">
        <v>59</v>
      </c>
      <c r="O653" s="631"/>
      <c r="Q653" s="595"/>
      <c r="R653" s="484"/>
      <c r="S653" s="595"/>
      <c r="T653" s="595"/>
      <c r="U653" s="595"/>
    </row>
    <row r="654" spans="2:21" s="505" customFormat="1" ht="14.1" hidden="1" customHeight="1">
      <c r="B654" s="951"/>
      <c r="C654" s="598" t="s">
        <v>227</v>
      </c>
      <c r="D654" s="979"/>
      <c r="E654" s="980"/>
      <c r="F654" s="599"/>
      <c r="G654" s="982"/>
      <c r="H654" s="982"/>
      <c r="I654" s="598" t="s">
        <v>60</v>
      </c>
      <c r="J654" s="598" t="s">
        <v>61</v>
      </c>
      <c r="K654" s="598" t="s">
        <v>61</v>
      </c>
      <c r="L654" s="598" t="s">
        <v>421</v>
      </c>
      <c r="M654" s="598"/>
      <c r="N654" s="598" t="s">
        <v>423</v>
      </c>
      <c r="O654" s="631"/>
      <c r="Q654" s="595"/>
      <c r="R654" s="484"/>
      <c r="S654" s="595"/>
      <c r="T654" s="595"/>
      <c r="U654" s="595"/>
    </row>
    <row r="655" spans="2:21" s="505" customFormat="1" ht="14.1" hidden="1" customHeight="1">
      <c r="B655" s="951"/>
      <c r="C655" s="600"/>
      <c r="D655" s="969"/>
      <c r="E655" s="970"/>
      <c r="F655" s="601"/>
      <c r="G655" s="973"/>
      <c r="H655" s="973"/>
      <c r="I655" s="600" t="s">
        <v>61</v>
      </c>
      <c r="J655" s="602"/>
      <c r="K655" s="602"/>
      <c r="L655" s="602"/>
      <c r="M655" s="602"/>
      <c r="N655" s="600" t="s">
        <v>61</v>
      </c>
      <c r="O655" s="631"/>
      <c r="Q655" s="595"/>
      <c r="R655" s="484"/>
      <c r="S655" s="595"/>
      <c r="T655" s="595"/>
      <c r="U655" s="595"/>
    </row>
    <row r="656" spans="2:21" s="505" customFormat="1" ht="14.1" hidden="1" customHeight="1">
      <c r="B656" s="951"/>
      <c r="C656" s="596" t="s">
        <v>213</v>
      </c>
      <c r="D656" s="607" t="s">
        <v>62</v>
      </c>
      <c r="E656" s="615" t="s">
        <v>146</v>
      </c>
      <c r="F656" s="615"/>
      <c r="G656" s="605" t="s">
        <v>32</v>
      </c>
      <c r="H656" s="616">
        <v>1.05</v>
      </c>
      <c r="I656" s="512">
        <f>'UPH-TNG'!$I$93</f>
        <v>14000</v>
      </c>
      <c r="J656" s="491">
        <f>ROUND(H656*I656,2)</f>
        <v>14700</v>
      </c>
      <c r="K656" s="492"/>
      <c r="L656" s="501">
        <f>L618</f>
        <v>0</v>
      </c>
      <c r="M656" s="494"/>
      <c r="N656" s="491">
        <f t="shared" ref="N656:N665" si="44">L656*J656</f>
        <v>0</v>
      </c>
      <c r="O656" s="631"/>
      <c r="Q656" s="595"/>
      <c r="R656" s="484"/>
      <c r="S656" s="595"/>
      <c r="T656" s="595"/>
      <c r="U656" s="595"/>
    </row>
    <row r="657" spans="2:21" s="505" customFormat="1" ht="14.1" hidden="1" customHeight="1">
      <c r="B657" s="951"/>
      <c r="C657" s="598"/>
      <c r="D657" s="607"/>
      <c r="E657" s="615" t="s">
        <v>147</v>
      </c>
      <c r="F657" s="615"/>
      <c r="G657" s="605" t="s">
        <v>73</v>
      </c>
      <c r="H657" s="616">
        <v>0.15</v>
      </c>
      <c r="I657" s="512">
        <f>'UPH-TNG'!$I$140</f>
        <v>4000</v>
      </c>
      <c r="J657" s="491">
        <f>ROUND(H657*I657,2)</f>
        <v>600</v>
      </c>
      <c r="K657" s="496"/>
      <c r="L657" s="501">
        <v>0</v>
      </c>
      <c r="M657" s="494"/>
      <c r="N657" s="491">
        <f t="shared" si="44"/>
        <v>0</v>
      </c>
      <c r="O657" s="631"/>
      <c r="Q657" s="595"/>
      <c r="R657" s="484"/>
      <c r="S657" s="595"/>
      <c r="T657" s="595"/>
      <c r="U657" s="595"/>
    </row>
    <row r="658" spans="2:21" s="505" customFormat="1" ht="14.1" hidden="1" customHeight="1">
      <c r="B658" s="951"/>
      <c r="C658" s="600"/>
      <c r="D658" s="607"/>
      <c r="E658" s="612"/>
      <c r="F658" s="613"/>
      <c r="G658" s="610"/>
      <c r="H658" s="614"/>
      <c r="I658" s="513"/>
      <c r="J658" s="495"/>
      <c r="K658" s="491">
        <f>SUM(J656:J657)</f>
        <v>15300</v>
      </c>
      <c r="L658" s="501"/>
      <c r="M658" s="494"/>
      <c r="N658" s="491">
        <f t="shared" si="44"/>
        <v>0</v>
      </c>
      <c r="O658" s="631"/>
      <c r="Q658" s="595"/>
      <c r="R658" s="484"/>
      <c r="S658" s="595"/>
      <c r="T658" s="595"/>
      <c r="U658" s="595"/>
    </row>
    <row r="659" spans="2:21" s="505" customFormat="1" ht="14.1" hidden="1" customHeight="1">
      <c r="B659" s="951"/>
      <c r="C659" s="596" t="s">
        <v>214</v>
      </c>
      <c r="D659" s="603" t="s">
        <v>63</v>
      </c>
      <c r="E659" s="615" t="s">
        <v>69</v>
      </c>
      <c r="F659" s="615"/>
      <c r="G659" s="605" t="s">
        <v>66</v>
      </c>
      <c r="H659" s="616">
        <v>0.06</v>
      </c>
      <c r="I659" s="512">
        <f>'UPH-TNG'!$I$15</f>
        <v>92000</v>
      </c>
      <c r="J659" s="491">
        <f>ROUND(H659*I659,2)</f>
        <v>5520</v>
      </c>
      <c r="K659" s="492"/>
      <c r="L659" s="493">
        <v>1</v>
      </c>
      <c r="M659" s="493" t="s">
        <v>422</v>
      </c>
      <c r="N659" s="491">
        <f t="shared" si="44"/>
        <v>5520</v>
      </c>
      <c r="O659" s="631"/>
      <c r="Q659" s="595"/>
      <c r="R659" s="484"/>
      <c r="S659" s="595"/>
      <c r="T659" s="595"/>
      <c r="U659" s="595"/>
    </row>
    <row r="660" spans="2:21" s="505" customFormat="1" ht="14.1" hidden="1" customHeight="1">
      <c r="B660" s="951"/>
      <c r="C660" s="598"/>
      <c r="D660" s="607"/>
      <c r="E660" s="615" t="s">
        <v>98</v>
      </c>
      <c r="F660" s="615"/>
      <c r="G660" s="605" t="s">
        <v>66</v>
      </c>
      <c r="H660" s="616">
        <v>0.06</v>
      </c>
      <c r="I660" s="512">
        <f>'UPH-TNG'!$I$24</f>
        <v>98000</v>
      </c>
      <c r="J660" s="491">
        <f>ROUND(H660*I660,2)</f>
        <v>5880</v>
      </c>
      <c r="K660" s="496"/>
      <c r="L660" s="493">
        <v>1</v>
      </c>
      <c r="M660" s="493" t="s">
        <v>422</v>
      </c>
      <c r="N660" s="491">
        <f t="shared" si="44"/>
        <v>5880</v>
      </c>
      <c r="O660" s="631"/>
      <c r="Q660" s="595"/>
      <c r="R660" s="484"/>
      <c r="S660" s="595"/>
      <c r="T660" s="595"/>
      <c r="U660" s="595"/>
    </row>
    <row r="661" spans="2:21" s="505" customFormat="1" ht="14.1" hidden="1" customHeight="1">
      <c r="B661" s="951"/>
      <c r="C661" s="598"/>
      <c r="D661" s="607"/>
      <c r="E661" s="615" t="s">
        <v>238</v>
      </c>
      <c r="F661" s="615"/>
      <c r="G661" s="605" t="s">
        <v>66</v>
      </c>
      <c r="H661" s="616">
        <v>6.0000000000000001E-3</v>
      </c>
      <c r="I661" s="512">
        <f>'UPH-TNG'!$I$19</f>
        <v>104000</v>
      </c>
      <c r="J661" s="491">
        <f>ROUND(H661*I661,2)</f>
        <v>624</v>
      </c>
      <c r="K661" s="496"/>
      <c r="L661" s="493">
        <v>1</v>
      </c>
      <c r="M661" s="493" t="s">
        <v>422</v>
      </c>
      <c r="N661" s="491">
        <f t="shared" si="44"/>
        <v>624</v>
      </c>
      <c r="O661" s="631"/>
      <c r="Q661" s="595"/>
      <c r="R661" s="484"/>
      <c r="S661" s="595"/>
      <c r="T661" s="595"/>
      <c r="U661" s="595"/>
    </row>
    <row r="662" spans="2:21" s="505" customFormat="1" ht="14.1" hidden="1" customHeight="1">
      <c r="B662" s="951"/>
      <c r="C662" s="598"/>
      <c r="D662" s="607"/>
      <c r="E662" s="615" t="s">
        <v>65</v>
      </c>
      <c r="F662" s="615"/>
      <c r="G662" s="605" t="s">
        <v>66</v>
      </c>
      <c r="H662" s="616">
        <v>3.0000000000000001E-3</v>
      </c>
      <c r="I662" s="512">
        <f>'UPH-TNG'!$I$20</f>
        <v>98000</v>
      </c>
      <c r="J662" s="491">
        <f>ROUND(H662*I662,2)</f>
        <v>294</v>
      </c>
      <c r="K662" s="607"/>
      <c r="L662" s="493">
        <v>1</v>
      </c>
      <c r="M662" s="493" t="s">
        <v>422</v>
      </c>
      <c r="N662" s="491">
        <f t="shared" si="44"/>
        <v>294</v>
      </c>
      <c r="O662" s="631"/>
      <c r="Q662" s="595"/>
      <c r="R662" s="484"/>
      <c r="S662" s="595"/>
      <c r="T662" s="595"/>
      <c r="U662" s="595"/>
    </row>
    <row r="663" spans="2:21" s="505" customFormat="1" ht="14.1" hidden="1" customHeight="1">
      <c r="B663" s="951"/>
      <c r="C663" s="600"/>
      <c r="D663" s="602"/>
      <c r="E663" s="612"/>
      <c r="F663" s="613"/>
      <c r="G663" s="610"/>
      <c r="H663" s="614"/>
      <c r="I663" s="513"/>
      <c r="J663" s="495"/>
      <c r="K663" s="494">
        <f>SUM(J659:J662)</f>
        <v>12318</v>
      </c>
      <c r="L663" s="501"/>
      <c r="M663" s="494"/>
      <c r="N663" s="491">
        <f t="shared" si="44"/>
        <v>0</v>
      </c>
      <c r="O663" s="631"/>
      <c r="Q663" s="595"/>
      <c r="R663" s="484"/>
      <c r="S663" s="595"/>
      <c r="T663" s="595"/>
      <c r="U663" s="595"/>
    </row>
    <row r="664" spans="2:21" s="505" customFormat="1" ht="14.1" hidden="1" customHeight="1">
      <c r="B664" s="951"/>
      <c r="C664" s="598" t="s">
        <v>215</v>
      </c>
      <c r="D664" s="603" t="s">
        <v>212</v>
      </c>
      <c r="E664" s="615"/>
      <c r="F664" s="615"/>
      <c r="G664" s="605"/>
      <c r="H664" s="616"/>
      <c r="I664" s="617"/>
      <c r="J664" s="491"/>
      <c r="K664" s="492"/>
      <c r="L664" s="501"/>
      <c r="M664" s="494"/>
      <c r="N664" s="491">
        <f t="shared" si="44"/>
        <v>0</v>
      </c>
      <c r="O664" s="631"/>
      <c r="Q664" s="595"/>
      <c r="R664" s="484"/>
      <c r="S664" s="595"/>
      <c r="T664" s="595"/>
      <c r="U664" s="595"/>
    </row>
    <row r="665" spans="2:21" s="505" customFormat="1" ht="14.1" hidden="1" customHeight="1">
      <c r="B665" s="951"/>
      <c r="C665" s="600"/>
      <c r="D665" s="602"/>
      <c r="E665" s="612"/>
      <c r="F665" s="613"/>
      <c r="G665" s="610"/>
      <c r="H665" s="614"/>
      <c r="I665" s="618"/>
      <c r="J665" s="495"/>
      <c r="K665" s="494">
        <f>SUM(J664:J664)</f>
        <v>0</v>
      </c>
      <c r="L665" s="501"/>
      <c r="M665" s="494"/>
      <c r="N665" s="491">
        <f t="shared" si="44"/>
        <v>0</v>
      </c>
      <c r="O665" s="631"/>
      <c r="P665" s="505">
        <v>13000</v>
      </c>
      <c r="Q665" s="595">
        <v>7</v>
      </c>
      <c r="R665" s="484">
        <f>P665*Q665</f>
        <v>91000</v>
      </c>
      <c r="S665" s="505">
        <f>P665/3</f>
        <v>4333.333333333333</v>
      </c>
      <c r="T665" s="595"/>
      <c r="U665" s="595"/>
    </row>
    <row r="666" spans="2:21" s="505" customFormat="1" ht="14.1" hidden="1" customHeight="1">
      <c r="B666" s="951"/>
      <c r="C666" s="605" t="s">
        <v>216</v>
      </c>
      <c r="D666" s="619" t="s">
        <v>219</v>
      </c>
      <c r="E666" s="613"/>
      <c r="F666" s="613"/>
      <c r="G666" s="610"/>
      <c r="H666" s="614"/>
      <c r="I666" s="618"/>
      <c r="J666" s="497" t="s">
        <v>220</v>
      </c>
      <c r="K666" s="494">
        <f>K658+K663+K665</f>
        <v>27618</v>
      </c>
      <c r="L666" s="649">
        <f>N666/K666</f>
        <v>0.44601346947642839</v>
      </c>
      <c r="M666" s="497"/>
      <c r="N666" s="498">
        <f>SUM(N655:N665)</f>
        <v>12318</v>
      </c>
      <c r="O666" s="631"/>
      <c r="Q666" s="595"/>
      <c r="R666" s="484"/>
      <c r="S666" s="595"/>
      <c r="T666" s="595"/>
      <c r="U666" s="595"/>
    </row>
    <row r="667" spans="2:21" s="505" customFormat="1" ht="14.1" hidden="1" customHeight="1">
      <c r="B667" s="951"/>
      <c r="C667" s="600" t="s">
        <v>217</v>
      </c>
      <c r="D667" s="619" t="s">
        <v>221</v>
      </c>
      <c r="E667" s="613"/>
      <c r="F667" s="499">
        <f>$F$48</f>
        <v>0.1</v>
      </c>
      <c r="G667" s="605" t="s">
        <v>168</v>
      </c>
      <c r="H667" s="499">
        <f>$H$48</f>
        <v>0.02</v>
      </c>
      <c r="I667" s="621" t="s">
        <v>167</v>
      </c>
      <c r="J667" s="494" t="s">
        <v>216</v>
      </c>
      <c r="K667" s="500">
        <f>ROUND((K666*(F667+H667)),2)</f>
        <v>3314.16</v>
      </c>
      <c r="L667" s="501"/>
      <c r="M667" s="494"/>
      <c r="N667" s="494"/>
      <c r="O667" s="631"/>
      <c r="Q667" s="595"/>
      <c r="R667" s="484"/>
      <c r="S667" s="595"/>
      <c r="T667" s="595"/>
      <c r="U667" s="595"/>
    </row>
    <row r="668" spans="2:21" s="505" customFormat="1" ht="14.1" hidden="1" customHeight="1">
      <c r="B668" s="951"/>
      <c r="C668" s="622" t="s">
        <v>222</v>
      </c>
      <c r="D668" s="623" t="s">
        <v>76</v>
      </c>
      <c r="E668" s="624"/>
      <c r="F668" s="624"/>
      <c r="G668" s="624"/>
      <c r="H668" s="625"/>
      <c r="I668" s="624"/>
      <c r="J668" s="626" t="s">
        <v>226</v>
      </c>
      <c r="K668" s="627">
        <f>SUM(K666:K667)</f>
        <v>30932.16</v>
      </c>
      <c r="L668" s="620"/>
      <c r="M668" s="626"/>
      <c r="N668" s="635"/>
      <c r="O668" s="631"/>
      <c r="Q668" s="595"/>
      <c r="R668" s="484"/>
      <c r="S668" s="595"/>
      <c r="T668" s="595"/>
      <c r="U668" s="595"/>
    </row>
    <row r="669" spans="2:21" hidden="1">
      <c r="Q669" s="595"/>
      <c r="R669" s="484"/>
      <c r="S669" s="595"/>
      <c r="T669" s="595"/>
      <c r="U669" s="595"/>
    </row>
    <row r="670" spans="2:21" s="505" customFormat="1" ht="14.1" customHeight="1">
      <c r="B670" s="951">
        <f>B651+1</f>
        <v>35</v>
      </c>
      <c r="C670" s="488"/>
      <c r="D670" s="485" t="s">
        <v>669</v>
      </c>
      <c r="E670" s="485"/>
      <c r="F670" s="485"/>
      <c r="G670" s="485"/>
      <c r="H670" s="488"/>
      <c r="I670" s="485"/>
      <c r="J670" s="485"/>
      <c r="K670" s="591" t="s">
        <v>305</v>
      </c>
      <c r="L670" s="591"/>
      <c r="M670" s="591"/>
      <c r="N670" s="591"/>
      <c r="O670" s="631" t="str">
        <f>D671</f>
        <v>m'</v>
      </c>
      <c r="P670" s="595">
        <f>K686</f>
        <v>12885.6</v>
      </c>
      <c r="Q670" s="593">
        <f>L684</f>
        <v>0.60391134289439374</v>
      </c>
      <c r="R670" s="484">
        <f>N684</f>
        <v>6948</v>
      </c>
      <c r="S670" s="594"/>
      <c r="T670" s="484"/>
      <c r="U670" s="593"/>
    </row>
    <row r="671" spans="2:21" s="505" customFormat="1" ht="14.1" customHeight="1">
      <c r="B671" s="951"/>
      <c r="C671" s="488"/>
      <c r="D671" s="485" t="s">
        <v>32</v>
      </c>
      <c r="E671" s="485"/>
      <c r="F671" s="485"/>
      <c r="G671" s="485"/>
      <c r="H671" s="488"/>
      <c r="I671" s="485"/>
      <c r="J671" s="485"/>
      <c r="K671" s="485"/>
      <c r="L671" s="485"/>
      <c r="M671" s="485"/>
      <c r="N671" s="485"/>
      <c r="O671" s="631"/>
      <c r="Q671" s="595"/>
      <c r="R671" s="484"/>
      <c r="S671" s="595"/>
      <c r="T671" s="595"/>
      <c r="U671" s="595"/>
    </row>
    <row r="672" spans="2:21" s="505" customFormat="1" ht="14.1" customHeight="1">
      <c r="B672" s="951"/>
      <c r="C672" s="596"/>
      <c r="D672" s="977" t="s">
        <v>55</v>
      </c>
      <c r="E672" s="978"/>
      <c r="F672" s="597"/>
      <c r="G672" s="981" t="s">
        <v>56</v>
      </c>
      <c r="H672" s="981" t="s">
        <v>57</v>
      </c>
      <c r="I672" s="596" t="s">
        <v>58</v>
      </c>
      <c r="J672" s="596" t="s">
        <v>59</v>
      </c>
      <c r="K672" s="596" t="s">
        <v>102</v>
      </c>
      <c r="L672" s="596" t="s">
        <v>418</v>
      </c>
      <c r="M672" s="596" t="s">
        <v>419</v>
      </c>
      <c r="N672" s="596" t="s">
        <v>59</v>
      </c>
      <c r="O672" s="631"/>
      <c r="Q672" s="595"/>
      <c r="R672" s="484"/>
      <c r="S672" s="595"/>
      <c r="T672" s="595"/>
      <c r="U672" s="595"/>
    </row>
    <row r="673" spans="2:21" s="505" customFormat="1" ht="14.1" customHeight="1">
      <c r="B673" s="951"/>
      <c r="C673" s="598" t="s">
        <v>227</v>
      </c>
      <c r="D673" s="979"/>
      <c r="E673" s="980"/>
      <c r="F673" s="599"/>
      <c r="G673" s="982"/>
      <c r="H673" s="982"/>
      <c r="I673" s="598" t="s">
        <v>60</v>
      </c>
      <c r="J673" s="598" t="s">
        <v>61</v>
      </c>
      <c r="K673" s="598" t="s">
        <v>61</v>
      </c>
      <c r="L673" s="598" t="s">
        <v>421</v>
      </c>
      <c r="M673" s="598"/>
      <c r="N673" s="598" t="s">
        <v>423</v>
      </c>
      <c r="O673" s="631"/>
      <c r="Q673" s="595"/>
      <c r="R673" s="484"/>
      <c r="S673" s="595"/>
      <c r="T673" s="595"/>
      <c r="U673" s="595"/>
    </row>
    <row r="674" spans="2:21" s="505" customFormat="1" ht="14.1" customHeight="1">
      <c r="B674" s="951"/>
      <c r="C674" s="600"/>
      <c r="D674" s="969"/>
      <c r="E674" s="970"/>
      <c r="F674" s="601"/>
      <c r="G674" s="973"/>
      <c r="H674" s="973"/>
      <c r="I674" s="600" t="s">
        <v>61</v>
      </c>
      <c r="J674" s="602"/>
      <c r="K674" s="602"/>
      <c r="L674" s="602"/>
      <c r="M674" s="602"/>
      <c r="N674" s="600" t="s">
        <v>61</v>
      </c>
      <c r="O674" s="631"/>
      <c r="Q674" s="595"/>
      <c r="R674" s="484"/>
      <c r="S674" s="595"/>
      <c r="T674" s="595"/>
      <c r="U674" s="595"/>
    </row>
    <row r="675" spans="2:21" s="505" customFormat="1" ht="14.1" customHeight="1">
      <c r="B675" s="951"/>
      <c r="C675" s="596" t="s">
        <v>213</v>
      </c>
      <c r="D675" s="607" t="s">
        <v>62</v>
      </c>
      <c r="E675" s="615" t="s">
        <v>670</v>
      </c>
      <c r="F675" s="615"/>
      <c r="G675" s="605" t="s">
        <v>32</v>
      </c>
      <c r="H675" s="616">
        <v>1.05</v>
      </c>
      <c r="I675" s="512">
        <f>'UPH-TNG'!I135</f>
        <v>7000</v>
      </c>
      <c r="J675" s="491">
        <f>ROUND(H675*I675,2)</f>
        <v>7350</v>
      </c>
      <c r="K675" s="492"/>
      <c r="L675" s="501">
        <f>L637</f>
        <v>0.38</v>
      </c>
      <c r="M675" s="494"/>
      <c r="N675" s="491">
        <f t="shared" ref="N675:N683" si="45">L675*J675</f>
        <v>2793</v>
      </c>
      <c r="O675" s="631"/>
      <c r="Q675" s="595"/>
      <c r="R675" s="484"/>
      <c r="S675" s="595"/>
      <c r="T675" s="595"/>
      <c r="U675" s="595"/>
    </row>
    <row r="676" spans="2:21" s="505" customFormat="1" ht="14.1" customHeight="1">
      <c r="B676" s="951"/>
      <c r="C676" s="600"/>
      <c r="D676" s="607"/>
      <c r="E676" s="612"/>
      <c r="F676" s="613"/>
      <c r="G676" s="610"/>
      <c r="H676" s="614"/>
      <c r="I676" s="513"/>
      <c r="J676" s="495"/>
      <c r="K676" s="491">
        <f>SUM(J675:J675)</f>
        <v>7350</v>
      </c>
      <c r="L676" s="501"/>
      <c r="M676" s="494"/>
      <c r="N676" s="491">
        <f t="shared" si="45"/>
        <v>0</v>
      </c>
      <c r="O676" s="631"/>
      <c r="Q676" s="595"/>
      <c r="R676" s="484"/>
      <c r="S676" s="595"/>
      <c r="T676" s="595"/>
      <c r="U676" s="595"/>
    </row>
    <row r="677" spans="2:21" s="505" customFormat="1" ht="14.1" customHeight="1">
      <c r="B677" s="951"/>
      <c r="C677" s="596" t="s">
        <v>214</v>
      </c>
      <c r="D677" s="603" t="s">
        <v>63</v>
      </c>
      <c r="E677" s="615" t="s">
        <v>69</v>
      </c>
      <c r="F677" s="615"/>
      <c r="G677" s="605" t="s">
        <v>66</v>
      </c>
      <c r="H677" s="616">
        <v>0.02</v>
      </c>
      <c r="I677" s="512">
        <f>'UPH-TNG'!$I$15</f>
        <v>92000</v>
      </c>
      <c r="J677" s="491">
        <f>ROUND(H677*I677,2)</f>
        <v>1840</v>
      </c>
      <c r="K677" s="492"/>
      <c r="L677" s="493">
        <v>1</v>
      </c>
      <c r="M677" s="493" t="s">
        <v>422</v>
      </c>
      <c r="N677" s="491">
        <f t="shared" si="45"/>
        <v>1840</v>
      </c>
      <c r="O677" s="631"/>
      <c r="Q677" s="595"/>
      <c r="R677" s="484"/>
      <c r="S677" s="595"/>
      <c r="T677" s="595"/>
      <c r="U677" s="595"/>
    </row>
    <row r="678" spans="2:21" s="505" customFormat="1" ht="14.1" customHeight="1">
      <c r="B678" s="951"/>
      <c r="C678" s="598"/>
      <c r="D678" s="607"/>
      <c r="E678" s="615" t="s">
        <v>98</v>
      </c>
      <c r="F678" s="615"/>
      <c r="G678" s="605" t="s">
        <v>66</v>
      </c>
      <c r="H678" s="616">
        <v>0.02</v>
      </c>
      <c r="I678" s="512">
        <f>'UPH-TNG'!$I$24</f>
        <v>98000</v>
      </c>
      <c r="J678" s="491">
        <f>ROUND(H678*I678,2)</f>
        <v>1960</v>
      </c>
      <c r="K678" s="496"/>
      <c r="L678" s="493">
        <v>1</v>
      </c>
      <c r="M678" s="493" t="s">
        <v>422</v>
      </c>
      <c r="N678" s="491">
        <f t="shared" si="45"/>
        <v>1960</v>
      </c>
      <c r="O678" s="631"/>
      <c r="Q678" s="595"/>
      <c r="R678" s="484"/>
      <c r="S678" s="595"/>
      <c r="T678" s="595"/>
      <c r="U678" s="595"/>
    </row>
    <row r="679" spans="2:21" s="505" customFormat="1" ht="14.1" customHeight="1">
      <c r="B679" s="951"/>
      <c r="C679" s="598"/>
      <c r="D679" s="607"/>
      <c r="E679" s="615" t="s">
        <v>238</v>
      </c>
      <c r="F679" s="615"/>
      <c r="G679" s="605" t="s">
        <v>66</v>
      </c>
      <c r="H679" s="616">
        <v>2E-3</v>
      </c>
      <c r="I679" s="512">
        <f>'UPH-TNG'!$I$19</f>
        <v>104000</v>
      </c>
      <c r="J679" s="491">
        <f>ROUND(H679*I679,2)</f>
        <v>208</v>
      </c>
      <c r="K679" s="496"/>
      <c r="L679" s="493">
        <v>1</v>
      </c>
      <c r="M679" s="493" t="s">
        <v>422</v>
      </c>
      <c r="N679" s="491">
        <f t="shared" si="45"/>
        <v>208</v>
      </c>
      <c r="O679" s="631"/>
      <c r="Q679" s="595"/>
      <c r="R679" s="484"/>
      <c r="S679" s="595"/>
      <c r="T679" s="595"/>
      <c r="U679" s="595"/>
    </row>
    <row r="680" spans="2:21" s="505" customFormat="1" ht="14.1" customHeight="1">
      <c r="B680" s="951"/>
      <c r="C680" s="598"/>
      <c r="D680" s="607"/>
      <c r="E680" s="615" t="s">
        <v>65</v>
      </c>
      <c r="F680" s="615"/>
      <c r="G680" s="605" t="s">
        <v>66</v>
      </c>
      <c r="H680" s="616">
        <v>1.5E-3</v>
      </c>
      <c r="I680" s="512">
        <f>'UPH-TNG'!$I$20</f>
        <v>98000</v>
      </c>
      <c r="J680" s="491">
        <f>ROUND(H680*I680,2)</f>
        <v>147</v>
      </c>
      <c r="K680" s="607"/>
      <c r="L680" s="493">
        <v>1</v>
      </c>
      <c r="M680" s="493" t="s">
        <v>422</v>
      </c>
      <c r="N680" s="491">
        <f t="shared" si="45"/>
        <v>147</v>
      </c>
      <c r="O680" s="631"/>
      <c r="Q680" s="595"/>
      <c r="R680" s="484"/>
      <c r="S680" s="595"/>
      <c r="T680" s="595"/>
      <c r="U680" s="595"/>
    </row>
    <row r="681" spans="2:21" s="505" customFormat="1" ht="14.1" customHeight="1">
      <c r="B681" s="951"/>
      <c r="C681" s="600"/>
      <c r="D681" s="602"/>
      <c r="E681" s="612"/>
      <c r="F681" s="613"/>
      <c r="G681" s="610"/>
      <c r="H681" s="614"/>
      <c r="I681" s="513"/>
      <c r="J681" s="495"/>
      <c r="K681" s="494">
        <f>SUM(J677:J680)</f>
        <v>4155</v>
      </c>
      <c r="L681" s="501"/>
      <c r="M681" s="494"/>
      <c r="N681" s="491">
        <f t="shared" si="45"/>
        <v>0</v>
      </c>
      <c r="O681" s="631"/>
      <c r="Q681" s="595"/>
      <c r="R681" s="484"/>
      <c r="S681" s="595"/>
      <c r="T681" s="595"/>
      <c r="U681" s="595"/>
    </row>
    <row r="682" spans="2:21" s="505" customFormat="1" ht="14.1" customHeight="1">
      <c r="B682" s="951"/>
      <c r="C682" s="598" t="s">
        <v>215</v>
      </c>
      <c r="D682" s="603" t="s">
        <v>212</v>
      </c>
      <c r="E682" s="615"/>
      <c r="F682" s="615"/>
      <c r="G682" s="605"/>
      <c r="H682" s="616"/>
      <c r="I682" s="617"/>
      <c r="J682" s="491"/>
      <c r="K682" s="492"/>
      <c r="L682" s="501"/>
      <c r="M682" s="494"/>
      <c r="N682" s="491">
        <f t="shared" si="45"/>
        <v>0</v>
      </c>
      <c r="O682" s="631"/>
      <c r="Q682" s="595"/>
      <c r="R682" s="484"/>
      <c r="S682" s="595"/>
      <c r="T682" s="595"/>
      <c r="U682" s="595"/>
    </row>
    <row r="683" spans="2:21" s="505" customFormat="1" ht="14.1" customHeight="1">
      <c r="B683" s="951"/>
      <c r="C683" s="600"/>
      <c r="D683" s="602"/>
      <c r="E683" s="612"/>
      <c r="F683" s="613"/>
      <c r="G683" s="610"/>
      <c r="H683" s="614"/>
      <c r="I683" s="618"/>
      <c r="J683" s="495"/>
      <c r="K683" s="494">
        <f>SUM(J682:J682)</f>
        <v>0</v>
      </c>
      <c r="L683" s="501"/>
      <c r="M683" s="494"/>
      <c r="N683" s="491">
        <f t="shared" si="45"/>
        <v>0</v>
      </c>
      <c r="O683" s="631"/>
      <c r="Q683" s="595"/>
      <c r="R683" s="484"/>
      <c r="S683" s="595"/>
      <c r="T683" s="595"/>
      <c r="U683" s="595"/>
    </row>
    <row r="684" spans="2:21" s="505" customFormat="1" ht="14.1" customHeight="1">
      <c r="B684" s="951"/>
      <c r="C684" s="605" t="s">
        <v>216</v>
      </c>
      <c r="D684" s="619" t="s">
        <v>219</v>
      </c>
      <c r="E684" s="613"/>
      <c r="F684" s="613"/>
      <c r="G684" s="610"/>
      <c r="H684" s="614"/>
      <c r="I684" s="618"/>
      <c r="J684" s="497" t="s">
        <v>220</v>
      </c>
      <c r="K684" s="494">
        <f>K676+K681+K683</f>
        <v>11505</v>
      </c>
      <c r="L684" s="649">
        <f>N684/K684</f>
        <v>0.60391134289439374</v>
      </c>
      <c r="M684" s="497"/>
      <c r="N684" s="498">
        <f>SUM(N674:N683)</f>
        <v>6948</v>
      </c>
      <c r="O684" s="631"/>
      <c r="Q684" s="595"/>
      <c r="R684" s="484"/>
      <c r="S684" s="595"/>
      <c r="T684" s="595"/>
      <c r="U684" s="595"/>
    </row>
    <row r="685" spans="2:21" s="505" customFormat="1" ht="14.1" customHeight="1">
      <c r="B685" s="951"/>
      <c r="C685" s="600" t="s">
        <v>217</v>
      </c>
      <c r="D685" s="619" t="s">
        <v>221</v>
      </c>
      <c r="E685" s="613"/>
      <c r="F685" s="499">
        <f>$F$48</f>
        <v>0.1</v>
      </c>
      <c r="G685" s="605" t="s">
        <v>168</v>
      </c>
      <c r="H685" s="499">
        <f>$H$48</f>
        <v>0.02</v>
      </c>
      <c r="I685" s="621" t="s">
        <v>167</v>
      </c>
      <c r="J685" s="494" t="s">
        <v>216</v>
      </c>
      <c r="K685" s="500">
        <f>ROUND((K684*(F685+H685)),2)</f>
        <v>1380.6</v>
      </c>
      <c r="L685" s="501"/>
      <c r="M685" s="494"/>
      <c r="N685" s="494"/>
      <c r="O685" s="631"/>
      <c r="Q685" s="595"/>
      <c r="R685" s="484"/>
      <c r="S685" s="595"/>
      <c r="T685" s="595"/>
      <c r="U685" s="595"/>
    </row>
    <row r="686" spans="2:21" s="505" customFormat="1" ht="14.1" customHeight="1">
      <c r="B686" s="951"/>
      <c r="C686" s="622" t="s">
        <v>222</v>
      </c>
      <c r="D686" s="623" t="s">
        <v>76</v>
      </c>
      <c r="E686" s="624"/>
      <c r="F686" s="624"/>
      <c r="G686" s="624"/>
      <c r="H686" s="625"/>
      <c r="I686" s="624"/>
      <c r="J686" s="626" t="s">
        <v>226</v>
      </c>
      <c r="K686" s="627">
        <f>SUM(K684:K685)</f>
        <v>12885.6</v>
      </c>
      <c r="L686" s="620"/>
      <c r="M686" s="626"/>
      <c r="N686" s="635"/>
      <c r="O686" s="631"/>
      <c r="Q686" s="595"/>
      <c r="R686" s="484"/>
      <c r="S686" s="595"/>
      <c r="T686" s="595"/>
      <c r="U686" s="595"/>
    </row>
    <row r="687" spans="2:21">
      <c r="Q687" s="595"/>
      <c r="R687" s="484"/>
      <c r="S687" s="595"/>
      <c r="T687" s="595"/>
      <c r="U687" s="595"/>
    </row>
    <row r="688" spans="2:21" s="505" customFormat="1" ht="14.1" customHeight="1">
      <c r="B688" s="951">
        <f>B670+1</f>
        <v>36</v>
      </c>
      <c r="C688" s="488"/>
      <c r="D688" s="506" t="s">
        <v>576</v>
      </c>
      <c r="E688" s="485"/>
      <c r="F688" s="485"/>
      <c r="G688" s="485"/>
      <c r="H688" s="488"/>
      <c r="I688" s="485"/>
      <c r="J688" s="485"/>
      <c r="K688" s="591" t="s">
        <v>457</v>
      </c>
      <c r="L688" s="591"/>
      <c r="M688" s="591"/>
      <c r="N688" s="591"/>
      <c r="O688" s="631" t="str">
        <f>D689</f>
        <v>m2</v>
      </c>
      <c r="P688" s="595">
        <f>K707</f>
        <v>101511.2</v>
      </c>
      <c r="Q688" s="593">
        <f>L705</f>
        <v>0.75619242014674248</v>
      </c>
      <c r="R688" s="484">
        <f>N705</f>
        <v>68537.5</v>
      </c>
      <c r="S688" s="594"/>
      <c r="T688" s="484"/>
      <c r="U688" s="593"/>
    </row>
    <row r="689" spans="2:21" s="505" customFormat="1" ht="14.1" customHeight="1">
      <c r="B689" s="951"/>
      <c r="C689" s="488"/>
      <c r="D689" s="485" t="s">
        <v>100</v>
      </c>
      <c r="E689" s="485"/>
      <c r="F689" s="485"/>
      <c r="G689" s="485"/>
      <c r="H689" s="488"/>
      <c r="I689" s="485"/>
      <c r="J689" s="485"/>
      <c r="K689" s="485"/>
      <c r="L689" s="485"/>
      <c r="M689" s="485"/>
      <c r="N689" s="485"/>
      <c r="O689" s="631"/>
      <c r="Q689" s="595"/>
      <c r="R689" s="484"/>
      <c r="S689" s="595"/>
      <c r="T689" s="595"/>
      <c r="U689" s="595"/>
    </row>
    <row r="690" spans="2:21" s="505" customFormat="1" ht="14.1" customHeight="1">
      <c r="B690" s="951"/>
      <c r="C690" s="596"/>
      <c r="D690" s="977" t="s">
        <v>55</v>
      </c>
      <c r="E690" s="978"/>
      <c r="F690" s="597"/>
      <c r="G690" s="981" t="s">
        <v>56</v>
      </c>
      <c r="H690" s="981" t="s">
        <v>57</v>
      </c>
      <c r="I690" s="596" t="s">
        <v>58</v>
      </c>
      <c r="J690" s="596" t="s">
        <v>59</v>
      </c>
      <c r="K690" s="596" t="s">
        <v>102</v>
      </c>
      <c r="L690" s="596" t="s">
        <v>418</v>
      </c>
      <c r="M690" s="596" t="s">
        <v>419</v>
      </c>
      <c r="N690" s="596" t="s">
        <v>59</v>
      </c>
      <c r="O690" s="631"/>
      <c r="Q690" s="595"/>
      <c r="R690" s="484"/>
      <c r="S690" s="595"/>
      <c r="T690" s="595"/>
      <c r="U690" s="595"/>
    </row>
    <row r="691" spans="2:21" s="505" customFormat="1" ht="14.1" customHeight="1">
      <c r="B691" s="951"/>
      <c r="C691" s="598" t="s">
        <v>227</v>
      </c>
      <c r="D691" s="979"/>
      <c r="E691" s="980"/>
      <c r="F691" s="599"/>
      <c r="G691" s="982"/>
      <c r="H691" s="982"/>
      <c r="I691" s="598" t="s">
        <v>60</v>
      </c>
      <c r="J691" s="598" t="s">
        <v>61</v>
      </c>
      <c r="K691" s="598" t="s">
        <v>61</v>
      </c>
      <c r="L691" s="598" t="s">
        <v>421</v>
      </c>
      <c r="M691" s="598"/>
      <c r="N691" s="598" t="s">
        <v>423</v>
      </c>
      <c r="O691" s="631"/>
      <c r="Q691" s="595"/>
      <c r="R691" s="484"/>
      <c r="S691" s="595"/>
      <c r="T691" s="595"/>
      <c r="U691" s="595"/>
    </row>
    <row r="692" spans="2:21" s="505" customFormat="1" ht="14.1" customHeight="1">
      <c r="B692" s="951"/>
      <c r="C692" s="600"/>
      <c r="D692" s="969"/>
      <c r="E692" s="970"/>
      <c r="F692" s="601"/>
      <c r="G692" s="973"/>
      <c r="H692" s="973"/>
      <c r="I692" s="600" t="s">
        <v>61</v>
      </c>
      <c r="J692" s="602"/>
      <c r="K692" s="602"/>
      <c r="L692" s="602"/>
      <c r="M692" s="602"/>
      <c r="N692" s="600" t="s">
        <v>61</v>
      </c>
      <c r="O692" s="631"/>
      <c r="Q692" s="595"/>
      <c r="R692" s="484"/>
      <c r="S692" s="595"/>
      <c r="T692" s="595"/>
      <c r="U692" s="595"/>
    </row>
    <row r="693" spans="2:21" s="505" customFormat="1" ht="14.1" customHeight="1">
      <c r="B693" s="951"/>
      <c r="C693" s="596" t="s">
        <v>213</v>
      </c>
      <c r="D693" s="607" t="s">
        <v>62</v>
      </c>
      <c r="E693" s="668" t="s">
        <v>458</v>
      </c>
      <c r="F693" s="615"/>
      <c r="G693" s="605" t="s">
        <v>32</v>
      </c>
      <c r="H693" s="669">
        <v>1.6</v>
      </c>
      <c r="I693" s="512">
        <f>'UPH-TNG'!I49</f>
        <v>14600</v>
      </c>
      <c r="J693" s="491">
        <f>ROUND(H693*I693,2)</f>
        <v>23360</v>
      </c>
      <c r="K693" s="492"/>
      <c r="L693" s="501">
        <v>0.45050000000000001</v>
      </c>
      <c r="M693" s="494" t="s">
        <v>429</v>
      </c>
      <c r="N693" s="491">
        <f t="shared" ref="N693:N704" si="46">L693*J693</f>
        <v>10523.68</v>
      </c>
      <c r="O693" s="631"/>
      <c r="Q693" s="595"/>
      <c r="R693" s="484"/>
      <c r="S693" s="595"/>
      <c r="T693" s="595"/>
      <c r="U693" s="595"/>
    </row>
    <row r="694" spans="2:21" s="505" customFormat="1" ht="14.1" customHeight="1">
      <c r="B694" s="951"/>
      <c r="C694" s="598"/>
      <c r="D694" s="607"/>
      <c r="E694" s="668" t="s">
        <v>459</v>
      </c>
      <c r="F694" s="615"/>
      <c r="G694" s="605" t="s">
        <v>32</v>
      </c>
      <c r="H694" s="669">
        <v>1.2</v>
      </c>
      <c r="I694" s="512">
        <f>'UPH-TNG'!I48</f>
        <v>9700</v>
      </c>
      <c r="J694" s="491">
        <f>ROUND(H694*I694,2)</f>
        <v>11640</v>
      </c>
      <c r="K694" s="496"/>
      <c r="L694" s="501">
        <f>L693</f>
        <v>0.45050000000000001</v>
      </c>
      <c r="M694" s="494" t="s">
        <v>429</v>
      </c>
      <c r="N694" s="491">
        <f t="shared" si="46"/>
        <v>5243.82</v>
      </c>
      <c r="O694" s="631"/>
      <c r="P694" s="505">
        <f>12/(2.4*1.2)</f>
        <v>4.166666666666667</v>
      </c>
      <c r="Q694" s="595"/>
      <c r="R694" s="484"/>
      <c r="S694" s="595"/>
      <c r="T694" s="595"/>
      <c r="U694" s="595"/>
    </row>
    <row r="695" spans="2:21" s="505" customFormat="1" ht="14.1" customHeight="1">
      <c r="B695" s="951"/>
      <c r="C695" s="670"/>
      <c r="D695" s="666"/>
      <c r="E695" s="671" t="s">
        <v>30</v>
      </c>
      <c r="F695" s="672"/>
      <c r="G695" s="673" t="s">
        <v>73</v>
      </c>
      <c r="H695" s="674">
        <v>0.15</v>
      </c>
      <c r="I695" s="514">
        <f>'UPH-TNG'!I73</f>
        <v>19100</v>
      </c>
      <c r="J695" s="491">
        <f t="shared" ref="J695" si="47">ROUND(H695*I695,2)</f>
        <v>2865</v>
      </c>
      <c r="K695" s="515"/>
      <c r="L695" s="516">
        <v>0</v>
      </c>
      <c r="M695" s="517"/>
      <c r="N695" s="491">
        <f t="shared" si="46"/>
        <v>0</v>
      </c>
      <c r="O695" s="631"/>
      <c r="Q695" s="595"/>
      <c r="R695" s="484"/>
      <c r="S695" s="595"/>
      <c r="T695" s="595"/>
      <c r="U695" s="595"/>
    </row>
    <row r="696" spans="2:21" s="505" customFormat="1" ht="14.1" customHeight="1">
      <c r="B696" s="951"/>
      <c r="C696" s="670"/>
      <c r="D696" s="666"/>
      <c r="E696" s="671"/>
      <c r="F696" s="672"/>
      <c r="G696" s="673"/>
      <c r="H696" s="674"/>
      <c r="I696" s="514"/>
      <c r="J696" s="491"/>
      <c r="K696" s="515"/>
      <c r="L696" s="516"/>
      <c r="M696" s="517"/>
      <c r="N696" s="491"/>
      <c r="O696" s="631"/>
      <c r="Q696" s="595"/>
      <c r="R696" s="484"/>
      <c r="S696" s="595"/>
      <c r="T696" s="595"/>
      <c r="U696" s="595"/>
    </row>
    <row r="697" spans="2:21" s="505" customFormat="1" ht="14.1" customHeight="1">
      <c r="B697" s="951"/>
      <c r="C697" s="600"/>
      <c r="D697" s="607"/>
      <c r="E697" s="612"/>
      <c r="F697" s="613"/>
      <c r="G697" s="610"/>
      <c r="H697" s="614"/>
      <c r="I697" s="513"/>
      <c r="J697" s="495"/>
      <c r="K697" s="491">
        <f>SUM(J693:J696)</f>
        <v>37865</v>
      </c>
      <c r="L697" s="501"/>
      <c r="M697" s="494"/>
      <c r="N697" s="491">
        <f t="shared" si="46"/>
        <v>0</v>
      </c>
      <c r="O697" s="631"/>
      <c r="Q697" s="595"/>
      <c r="R697" s="484"/>
      <c r="S697" s="595"/>
      <c r="T697" s="595"/>
      <c r="U697" s="595"/>
    </row>
    <row r="698" spans="2:21" s="505" customFormat="1" ht="14.1" customHeight="1">
      <c r="B698" s="951"/>
      <c r="C698" s="596" t="s">
        <v>214</v>
      </c>
      <c r="D698" s="603" t="s">
        <v>63</v>
      </c>
      <c r="E698" s="615" t="s">
        <v>69</v>
      </c>
      <c r="F698" s="615"/>
      <c r="G698" s="605" t="s">
        <v>66</v>
      </c>
      <c r="H698" s="616">
        <v>0.15</v>
      </c>
      <c r="I698" s="512">
        <f>'UPH-TNG'!$I$15</f>
        <v>92000</v>
      </c>
      <c r="J698" s="491">
        <f>ROUND(H698*I698,2)</f>
        <v>13800</v>
      </c>
      <c r="K698" s="492"/>
      <c r="L698" s="493">
        <v>1</v>
      </c>
      <c r="M698" s="493" t="s">
        <v>422</v>
      </c>
      <c r="N698" s="491">
        <f t="shared" si="46"/>
        <v>13800</v>
      </c>
      <c r="O698" s="631"/>
      <c r="Q698" s="595"/>
      <c r="R698" s="484"/>
      <c r="S698" s="595"/>
      <c r="T698" s="595"/>
      <c r="U698" s="595"/>
    </row>
    <row r="699" spans="2:21" s="505" customFormat="1" ht="14.1" customHeight="1">
      <c r="B699" s="951"/>
      <c r="C699" s="598"/>
      <c r="D699" s="607"/>
      <c r="E699" s="615" t="s">
        <v>34</v>
      </c>
      <c r="F699" s="615"/>
      <c r="G699" s="605" t="s">
        <v>66</v>
      </c>
      <c r="H699" s="616">
        <v>0.3</v>
      </c>
      <c r="I699" s="512">
        <f>'UPH-TNG'!$I$22</f>
        <v>95000</v>
      </c>
      <c r="J699" s="491">
        <f>ROUND(H699*I699,2)</f>
        <v>28500</v>
      </c>
      <c r="K699" s="496"/>
      <c r="L699" s="493">
        <v>1</v>
      </c>
      <c r="M699" s="493" t="s">
        <v>422</v>
      </c>
      <c r="N699" s="491">
        <f t="shared" si="46"/>
        <v>28500</v>
      </c>
      <c r="O699" s="631"/>
      <c r="Q699" s="595"/>
      <c r="R699" s="484"/>
      <c r="S699" s="595"/>
      <c r="T699" s="595"/>
      <c r="U699" s="595"/>
    </row>
    <row r="700" spans="2:21" s="505" customFormat="1" ht="14.1" customHeight="1">
      <c r="B700" s="951"/>
      <c r="C700" s="598"/>
      <c r="D700" s="607"/>
      <c r="E700" s="615" t="s">
        <v>238</v>
      </c>
      <c r="F700" s="615"/>
      <c r="G700" s="605" t="s">
        <v>66</v>
      </c>
      <c r="H700" s="616">
        <v>0.03</v>
      </c>
      <c r="I700" s="512">
        <f>'UPH-TNG'!$I$17</f>
        <v>104000</v>
      </c>
      <c r="J700" s="491">
        <f>ROUND(H700*I700,2)</f>
        <v>3120</v>
      </c>
      <c r="K700" s="496"/>
      <c r="L700" s="493">
        <v>1</v>
      </c>
      <c r="M700" s="493" t="s">
        <v>422</v>
      </c>
      <c r="N700" s="491">
        <f t="shared" si="46"/>
        <v>3120</v>
      </c>
      <c r="O700" s="631"/>
      <c r="Q700" s="595"/>
      <c r="R700" s="484"/>
      <c r="S700" s="595"/>
      <c r="T700" s="595"/>
      <c r="U700" s="595"/>
    </row>
    <row r="701" spans="2:21" s="505" customFormat="1" ht="14.1" customHeight="1">
      <c r="B701" s="951"/>
      <c r="C701" s="598"/>
      <c r="D701" s="607"/>
      <c r="E701" s="615" t="s">
        <v>65</v>
      </c>
      <c r="F701" s="615"/>
      <c r="G701" s="605" t="s">
        <v>66</v>
      </c>
      <c r="H701" s="616">
        <v>7.4999999999999997E-2</v>
      </c>
      <c r="I701" s="512">
        <f>'UPH-TNG'!$I$20</f>
        <v>98000</v>
      </c>
      <c r="J701" s="491">
        <f>ROUND(H701*I701,2)</f>
        <v>7350</v>
      </c>
      <c r="K701" s="607"/>
      <c r="L701" s="493">
        <v>1</v>
      </c>
      <c r="M701" s="493" t="s">
        <v>422</v>
      </c>
      <c r="N701" s="491">
        <f t="shared" si="46"/>
        <v>7350</v>
      </c>
      <c r="O701" s="631"/>
      <c r="Q701" s="595"/>
      <c r="R701" s="484"/>
      <c r="S701" s="595"/>
      <c r="T701" s="595"/>
      <c r="U701" s="595"/>
    </row>
    <row r="702" spans="2:21" s="505" customFormat="1" ht="14.1" customHeight="1">
      <c r="B702" s="951"/>
      <c r="C702" s="600"/>
      <c r="D702" s="602"/>
      <c r="E702" s="612"/>
      <c r="F702" s="613"/>
      <c r="G702" s="610"/>
      <c r="H702" s="614"/>
      <c r="I702" s="513"/>
      <c r="J702" s="495"/>
      <c r="K702" s="494">
        <f>SUM(J698:J701)</f>
        <v>52770</v>
      </c>
      <c r="L702" s="501"/>
      <c r="M702" s="494"/>
      <c r="N702" s="491">
        <f t="shared" si="46"/>
        <v>0</v>
      </c>
      <c r="O702" s="631"/>
      <c r="Q702" s="595"/>
      <c r="R702" s="484"/>
      <c r="S702" s="595"/>
      <c r="T702" s="595"/>
      <c r="U702" s="595"/>
    </row>
    <row r="703" spans="2:21" s="505" customFormat="1" ht="14.1" customHeight="1">
      <c r="B703" s="951"/>
      <c r="C703" s="598" t="s">
        <v>215</v>
      </c>
      <c r="D703" s="603" t="s">
        <v>212</v>
      </c>
      <c r="E703" s="615"/>
      <c r="F703" s="615"/>
      <c r="G703" s="605"/>
      <c r="H703" s="616"/>
      <c r="I703" s="617"/>
      <c r="J703" s="491"/>
      <c r="K703" s="492"/>
      <c r="L703" s="501"/>
      <c r="M703" s="494"/>
      <c r="N703" s="491">
        <f t="shared" si="46"/>
        <v>0</v>
      </c>
      <c r="O703" s="631"/>
      <c r="Q703" s="595"/>
      <c r="R703" s="484"/>
      <c r="S703" s="595"/>
      <c r="T703" s="595"/>
      <c r="U703" s="595"/>
    </row>
    <row r="704" spans="2:21" s="505" customFormat="1" ht="14.1" customHeight="1">
      <c r="B704" s="951"/>
      <c r="C704" s="600"/>
      <c r="D704" s="602"/>
      <c r="E704" s="612"/>
      <c r="F704" s="613"/>
      <c r="G704" s="610"/>
      <c r="H704" s="614"/>
      <c r="I704" s="618"/>
      <c r="J704" s="495"/>
      <c r="K704" s="494">
        <f>SUM(J703:J703)</f>
        <v>0</v>
      </c>
      <c r="L704" s="501"/>
      <c r="M704" s="494"/>
      <c r="N704" s="491">
        <f t="shared" si="46"/>
        <v>0</v>
      </c>
      <c r="O704" s="631"/>
      <c r="Q704" s="595"/>
      <c r="R704" s="484"/>
      <c r="S704" s="595"/>
      <c r="T704" s="595"/>
      <c r="U704" s="595"/>
    </row>
    <row r="705" spans="2:21" s="505" customFormat="1" ht="14.1" customHeight="1">
      <c r="B705" s="951"/>
      <c r="C705" s="605" t="s">
        <v>216</v>
      </c>
      <c r="D705" s="619" t="s">
        <v>219</v>
      </c>
      <c r="E705" s="613"/>
      <c r="F705" s="613"/>
      <c r="G705" s="610"/>
      <c r="H705" s="614"/>
      <c r="I705" s="618"/>
      <c r="J705" s="497" t="s">
        <v>220</v>
      </c>
      <c r="K705" s="494">
        <f>K697+K702+K704</f>
        <v>90635</v>
      </c>
      <c r="L705" s="649">
        <f>N705/K705</f>
        <v>0.75619242014674248</v>
      </c>
      <c r="M705" s="497"/>
      <c r="N705" s="498">
        <f>SUM(N693:N704)</f>
        <v>68537.5</v>
      </c>
      <c r="O705" s="631"/>
      <c r="Q705" s="595"/>
      <c r="R705" s="484"/>
      <c r="S705" s="595"/>
      <c r="T705" s="595"/>
      <c r="U705" s="595"/>
    </row>
    <row r="706" spans="2:21" s="505" customFormat="1" ht="14.1" customHeight="1">
      <c r="B706" s="951"/>
      <c r="C706" s="600" t="s">
        <v>217</v>
      </c>
      <c r="D706" s="619" t="s">
        <v>221</v>
      </c>
      <c r="E706" s="613"/>
      <c r="F706" s="499">
        <f>$F$48</f>
        <v>0.1</v>
      </c>
      <c r="G706" s="605" t="s">
        <v>168</v>
      </c>
      <c r="H706" s="499">
        <f>$H$48</f>
        <v>0.02</v>
      </c>
      <c r="I706" s="621" t="s">
        <v>167</v>
      </c>
      <c r="J706" s="494" t="s">
        <v>216</v>
      </c>
      <c r="K706" s="500">
        <f>ROUND((K705*(F706+H706)),2)</f>
        <v>10876.2</v>
      </c>
      <c r="L706" s="501"/>
      <c r="M706" s="494"/>
      <c r="N706" s="494"/>
      <c r="O706" s="631"/>
      <c r="Q706" s="595"/>
      <c r="R706" s="484"/>
      <c r="S706" s="595"/>
      <c r="T706" s="595"/>
      <c r="U706" s="595"/>
    </row>
    <row r="707" spans="2:21" s="505" customFormat="1" ht="14.1" customHeight="1">
      <c r="B707" s="951"/>
      <c r="C707" s="622" t="s">
        <v>222</v>
      </c>
      <c r="D707" s="623" t="s">
        <v>76</v>
      </c>
      <c r="E707" s="624"/>
      <c r="F707" s="624"/>
      <c r="G707" s="624"/>
      <c r="H707" s="625"/>
      <c r="I707" s="624"/>
      <c r="J707" s="626" t="s">
        <v>226</v>
      </c>
      <c r="K707" s="627">
        <f>SUM(K705:K706)</f>
        <v>101511.2</v>
      </c>
      <c r="L707" s="620"/>
      <c r="M707" s="626"/>
      <c r="N707" s="635"/>
      <c r="O707" s="631"/>
      <c r="Q707" s="595"/>
      <c r="R707" s="484"/>
      <c r="S707" s="595"/>
      <c r="T707" s="595"/>
      <c r="U707" s="595"/>
    </row>
    <row r="708" spans="2:21" s="505" customFormat="1" ht="14.1" customHeight="1">
      <c r="B708" s="953"/>
      <c r="C708" s="675"/>
      <c r="H708" s="631"/>
      <c r="J708" s="631"/>
      <c r="O708" s="631"/>
      <c r="Q708" s="595"/>
      <c r="R708" s="484"/>
      <c r="S708" s="595"/>
      <c r="T708" s="595"/>
      <c r="U708" s="595"/>
    </row>
    <row r="709" spans="2:21" s="505" customFormat="1" ht="14.1" customHeight="1">
      <c r="B709" s="951">
        <f>B688+1</f>
        <v>37</v>
      </c>
      <c r="C709" s="488"/>
      <c r="D709" s="485" t="s">
        <v>511</v>
      </c>
      <c r="E709" s="485"/>
      <c r="F709" s="485"/>
      <c r="G709" s="485"/>
      <c r="H709" s="488"/>
      <c r="I709" s="485"/>
      <c r="J709" s="485"/>
      <c r="K709" s="591" t="s">
        <v>452</v>
      </c>
      <c r="L709" s="591"/>
      <c r="M709" s="591"/>
      <c r="N709" s="591"/>
      <c r="O709" s="631" t="str">
        <f>D710</f>
        <v>m'</v>
      </c>
      <c r="P709" s="595">
        <f>K727</f>
        <v>168217.28</v>
      </c>
      <c r="Q709" s="593">
        <f>L725</f>
        <v>0.48380794172869757</v>
      </c>
      <c r="R709" s="484">
        <f>N725</f>
        <v>72665.05</v>
      </c>
      <c r="S709" s="594"/>
      <c r="T709" s="484"/>
      <c r="U709" s="593"/>
    </row>
    <row r="710" spans="2:21" s="505" customFormat="1" ht="14.1" customHeight="1">
      <c r="B710" s="951"/>
      <c r="C710" s="488"/>
      <c r="D710" s="485" t="s">
        <v>32</v>
      </c>
      <c r="E710" s="485"/>
      <c r="F710" s="485"/>
      <c r="G710" s="485"/>
      <c r="H710" s="488"/>
      <c r="I710" s="485"/>
      <c r="J710" s="485"/>
      <c r="K710" s="485"/>
      <c r="L710" s="485"/>
      <c r="M710" s="485"/>
      <c r="N710" s="485"/>
      <c r="O710" s="631"/>
      <c r="Q710" s="595"/>
      <c r="R710" s="484"/>
      <c r="S710" s="595"/>
      <c r="T710" s="595"/>
      <c r="U710" s="595"/>
    </row>
    <row r="711" spans="2:21" s="505" customFormat="1" ht="14.1" customHeight="1">
      <c r="B711" s="951"/>
      <c r="C711" s="596"/>
      <c r="D711" s="977" t="s">
        <v>55</v>
      </c>
      <c r="E711" s="978"/>
      <c r="F711" s="597"/>
      <c r="G711" s="981" t="s">
        <v>56</v>
      </c>
      <c r="H711" s="981" t="s">
        <v>57</v>
      </c>
      <c r="I711" s="596" t="s">
        <v>58</v>
      </c>
      <c r="J711" s="596" t="s">
        <v>59</v>
      </c>
      <c r="K711" s="596" t="s">
        <v>102</v>
      </c>
      <c r="L711" s="596" t="s">
        <v>418</v>
      </c>
      <c r="M711" s="596" t="s">
        <v>419</v>
      </c>
      <c r="N711" s="596" t="s">
        <v>59</v>
      </c>
      <c r="O711" s="631"/>
      <c r="Q711" s="595"/>
      <c r="R711" s="484"/>
      <c r="S711" s="595"/>
      <c r="T711" s="595"/>
      <c r="U711" s="595"/>
    </row>
    <row r="712" spans="2:21" s="505" customFormat="1" ht="14.1" customHeight="1">
      <c r="B712" s="951"/>
      <c r="C712" s="598" t="s">
        <v>227</v>
      </c>
      <c r="D712" s="979"/>
      <c r="E712" s="980"/>
      <c r="F712" s="599"/>
      <c r="G712" s="982"/>
      <c r="H712" s="982"/>
      <c r="I712" s="598" t="s">
        <v>60</v>
      </c>
      <c r="J712" s="598" t="s">
        <v>61</v>
      </c>
      <c r="K712" s="598" t="s">
        <v>61</v>
      </c>
      <c r="L712" s="598" t="s">
        <v>421</v>
      </c>
      <c r="M712" s="598"/>
      <c r="N712" s="598" t="s">
        <v>423</v>
      </c>
      <c r="O712" s="631"/>
      <c r="Q712" s="595"/>
      <c r="R712" s="484"/>
      <c r="S712" s="595"/>
      <c r="T712" s="595"/>
      <c r="U712" s="595"/>
    </row>
    <row r="713" spans="2:21" s="505" customFormat="1" ht="14.1" customHeight="1">
      <c r="B713" s="951"/>
      <c r="C713" s="600"/>
      <c r="D713" s="969"/>
      <c r="E713" s="970"/>
      <c r="F713" s="601"/>
      <c r="G713" s="973"/>
      <c r="H713" s="973"/>
      <c r="I713" s="600" t="s">
        <v>61</v>
      </c>
      <c r="J713" s="602"/>
      <c r="K713" s="602"/>
      <c r="L713" s="602"/>
      <c r="M713" s="602"/>
      <c r="N713" s="600" t="s">
        <v>61</v>
      </c>
      <c r="O713" s="631"/>
      <c r="Q713" s="595"/>
      <c r="R713" s="484"/>
      <c r="S713" s="595"/>
      <c r="T713" s="595"/>
      <c r="U713" s="595"/>
    </row>
    <row r="714" spans="2:21" s="505" customFormat="1" ht="14.1" customHeight="1">
      <c r="B714" s="951"/>
      <c r="C714" s="596" t="s">
        <v>213</v>
      </c>
      <c r="D714" s="607" t="s">
        <v>62</v>
      </c>
      <c r="E714" s="637" t="s">
        <v>205</v>
      </c>
      <c r="F714" s="637"/>
      <c r="G714" s="605" t="s">
        <v>83</v>
      </c>
      <c r="H714" s="616">
        <v>1.1000000000000001</v>
      </c>
      <c r="I714" s="512">
        <f>+'UPH-TNG'!$I$85</f>
        <v>115000</v>
      </c>
      <c r="J714" s="491">
        <f>ROUND(H714*I714,2)</f>
        <v>126500</v>
      </c>
      <c r="K714" s="603"/>
      <c r="L714" s="501">
        <v>0.50570000000000004</v>
      </c>
      <c r="M714" s="494" t="s">
        <v>429</v>
      </c>
      <c r="N714" s="491">
        <f t="shared" ref="N714:N724" si="48">L714*J714</f>
        <v>63971.05</v>
      </c>
      <c r="O714" s="631"/>
      <c r="Q714" s="595"/>
      <c r="R714" s="484"/>
      <c r="S714" s="595"/>
      <c r="T714" s="595"/>
      <c r="U714" s="595"/>
    </row>
    <row r="715" spans="2:21" s="505" customFormat="1" ht="14.1" customHeight="1">
      <c r="B715" s="951"/>
      <c r="C715" s="607"/>
      <c r="D715" s="607"/>
      <c r="E715" s="637" t="s">
        <v>236</v>
      </c>
      <c r="F715" s="637"/>
      <c r="G715" s="605" t="s">
        <v>29</v>
      </c>
      <c r="H715" s="616">
        <v>2</v>
      </c>
      <c r="I715" s="512">
        <f>'UPH-TNG'!$I$101</f>
        <v>5700</v>
      </c>
      <c r="J715" s="491">
        <f>ROUND(H715*I715,2)</f>
        <v>11400</v>
      </c>
      <c r="K715" s="607"/>
      <c r="L715" s="501">
        <v>0</v>
      </c>
      <c r="M715" s="494"/>
      <c r="N715" s="491">
        <f t="shared" si="48"/>
        <v>0</v>
      </c>
      <c r="O715" s="631"/>
      <c r="Q715" s="595"/>
      <c r="R715" s="484"/>
      <c r="S715" s="595"/>
      <c r="T715" s="595"/>
      <c r="U715" s="595"/>
    </row>
    <row r="716" spans="2:21" s="505" customFormat="1" ht="14.1" customHeight="1">
      <c r="B716" s="951"/>
      <c r="C716" s="607"/>
      <c r="D716" s="607"/>
      <c r="E716" s="637" t="s">
        <v>82</v>
      </c>
      <c r="F716" s="637"/>
      <c r="G716" s="605" t="s">
        <v>36</v>
      </c>
      <c r="H716" s="616">
        <v>0.06</v>
      </c>
      <c r="I716" s="512">
        <f>'UPH-TNG'!$I$131</f>
        <v>60000</v>
      </c>
      <c r="J716" s="491">
        <f>ROUND(H716*I716,2)</f>
        <v>3600</v>
      </c>
      <c r="K716" s="602"/>
      <c r="L716" s="501">
        <v>0</v>
      </c>
      <c r="M716" s="494"/>
      <c r="N716" s="491">
        <f t="shared" si="48"/>
        <v>0</v>
      </c>
      <c r="O716" s="631"/>
      <c r="Q716" s="595"/>
      <c r="R716" s="484"/>
      <c r="S716" s="595"/>
      <c r="T716" s="595"/>
      <c r="U716" s="595"/>
    </row>
    <row r="717" spans="2:21" s="505" customFormat="1" ht="14.1" customHeight="1">
      <c r="B717" s="951"/>
      <c r="C717" s="600"/>
      <c r="D717" s="607"/>
      <c r="E717" s="642"/>
      <c r="F717" s="643"/>
      <c r="G717" s="610"/>
      <c r="H717" s="614"/>
      <c r="I717" s="513"/>
      <c r="J717" s="495"/>
      <c r="K717" s="491">
        <f>SUM(J714:J716)</f>
        <v>141500</v>
      </c>
      <c r="L717" s="493"/>
      <c r="M717" s="494"/>
      <c r="N717" s="491">
        <f t="shared" si="48"/>
        <v>0</v>
      </c>
      <c r="O717" s="631"/>
      <c r="Q717" s="595"/>
      <c r="R717" s="484"/>
      <c r="S717" s="595"/>
      <c r="T717" s="595"/>
      <c r="U717" s="595"/>
    </row>
    <row r="718" spans="2:21" s="505" customFormat="1" ht="14.1" customHeight="1">
      <c r="B718" s="951"/>
      <c r="C718" s="596" t="s">
        <v>214</v>
      </c>
      <c r="D718" s="603" t="s">
        <v>63</v>
      </c>
      <c r="E718" s="615" t="s">
        <v>69</v>
      </c>
      <c r="F718" s="615"/>
      <c r="G718" s="605" t="s">
        <v>66</v>
      </c>
      <c r="H718" s="616">
        <v>4.2999999999999997E-2</v>
      </c>
      <c r="I718" s="512">
        <f>'UPH-TNG'!$I$15</f>
        <v>92000</v>
      </c>
      <c r="J718" s="491">
        <f>ROUND(H718*I718,2)</f>
        <v>3956</v>
      </c>
      <c r="K718" s="603"/>
      <c r="L718" s="493">
        <v>1</v>
      </c>
      <c r="M718" s="493" t="s">
        <v>422</v>
      </c>
      <c r="N718" s="491">
        <f t="shared" si="48"/>
        <v>3956</v>
      </c>
      <c r="O718" s="631"/>
      <c r="Q718" s="595"/>
      <c r="R718" s="484"/>
      <c r="S718" s="595"/>
      <c r="T718" s="595"/>
      <c r="U718" s="595"/>
    </row>
    <row r="719" spans="2:21" s="505" customFormat="1" ht="14.1" customHeight="1">
      <c r="B719" s="951"/>
      <c r="C719" s="598"/>
      <c r="D719" s="607"/>
      <c r="E719" s="615" t="s">
        <v>148</v>
      </c>
      <c r="F719" s="615"/>
      <c r="G719" s="605" t="s">
        <v>66</v>
      </c>
      <c r="H719" s="616">
        <v>4.2999999999999997E-2</v>
      </c>
      <c r="I719" s="512">
        <f>'UPH-TNG'!$I$22</f>
        <v>95000</v>
      </c>
      <c r="J719" s="491">
        <f>ROUND(H719*I719,2)</f>
        <v>4085</v>
      </c>
      <c r="K719" s="496"/>
      <c r="L719" s="493">
        <v>1</v>
      </c>
      <c r="M719" s="493" t="s">
        <v>422</v>
      </c>
      <c r="N719" s="491">
        <f t="shared" si="48"/>
        <v>4085</v>
      </c>
      <c r="O719" s="631"/>
      <c r="Q719" s="595"/>
      <c r="R719" s="484"/>
      <c r="S719" s="595"/>
      <c r="T719" s="595"/>
      <c r="U719" s="595"/>
    </row>
    <row r="720" spans="2:21" s="505" customFormat="1" ht="14.1" customHeight="1">
      <c r="B720" s="951"/>
      <c r="C720" s="607"/>
      <c r="D720" s="607"/>
      <c r="E720" s="615" t="s">
        <v>71</v>
      </c>
      <c r="F720" s="615"/>
      <c r="G720" s="605" t="s">
        <v>66</v>
      </c>
      <c r="H720" s="656">
        <v>4.3E-3</v>
      </c>
      <c r="I720" s="512">
        <f>'UPH-TNG'!$I$17</f>
        <v>104000</v>
      </c>
      <c r="J720" s="491">
        <f>ROUND(H720*I720,2)</f>
        <v>447.2</v>
      </c>
      <c r="K720" s="496"/>
      <c r="L720" s="493">
        <v>1</v>
      </c>
      <c r="M720" s="493" t="s">
        <v>422</v>
      </c>
      <c r="N720" s="491">
        <f t="shared" si="48"/>
        <v>447.2</v>
      </c>
      <c r="O720" s="631"/>
      <c r="Q720" s="595"/>
      <c r="R720" s="484"/>
      <c r="S720" s="595"/>
      <c r="T720" s="595"/>
      <c r="U720" s="595"/>
    </row>
    <row r="721" spans="2:21" s="505" customFormat="1" ht="14.1" customHeight="1">
      <c r="B721" s="951"/>
      <c r="C721" s="607"/>
      <c r="D721" s="607"/>
      <c r="E721" s="615" t="s">
        <v>65</v>
      </c>
      <c r="F721" s="615"/>
      <c r="G721" s="605" t="s">
        <v>66</v>
      </c>
      <c r="H721" s="656">
        <v>2.0999999999999999E-3</v>
      </c>
      <c r="I721" s="512">
        <f>'UPH-TNG'!$I$20</f>
        <v>98000</v>
      </c>
      <c r="J721" s="491">
        <f>ROUND(H721*I721,2)</f>
        <v>205.8</v>
      </c>
      <c r="K721" s="496"/>
      <c r="L721" s="493">
        <v>1</v>
      </c>
      <c r="M721" s="493" t="s">
        <v>422</v>
      </c>
      <c r="N721" s="491">
        <f t="shared" si="48"/>
        <v>205.8</v>
      </c>
      <c r="O721" s="631"/>
      <c r="Q721" s="595"/>
      <c r="R721" s="484"/>
      <c r="S721" s="595"/>
      <c r="T721" s="595"/>
      <c r="U721" s="595"/>
    </row>
    <row r="722" spans="2:21" s="505" customFormat="1" ht="14.1" customHeight="1">
      <c r="B722" s="951"/>
      <c r="C722" s="600"/>
      <c r="D722" s="602"/>
      <c r="E722" s="612"/>
      <c r="F722" s="613"/>
      <c r="G722" s="610"/>
      <c r="H722" s="614"/>
      <c r="I722" s="513"/>
      <c r="J722" s="495"/>
      <c r="K722" s="494">
        <f>SUM(J718:J721)</f>
        <v>8694</v>
      </c>
      <c r="L722" s="493"/>
      <c r="M722" s="494"/>
      <c r="N722" s="491">
        <f t="shared" si="48"/>
        <v>0</v>
      </c>
      <c r="O722" s="631"/>
      <c r="Q722" s="595"/>
      <c r="R722" s="484"/>
      <c r="S722" s="595"/>
      <c r="T722" s="595"/>
      <c r="U722" s="595"/>
    </row>
    <row r="723" spans="2:21" s="505" customFormat="1" ht="14.1" customHeight="1">
      <c r="B723" s="951"/>
      <c r="C723" s="598" t="s">
        <v>215</v>
      </c>
      <c r="D723" s="603" t="s">
        <v>212</v>
      </c>
      <c r="E723" s="615"/>
      <c r="F723" s="615"/>
      <c r="G723" s="605"/>
      <c r="H723" s="616"/>
      <c r="I723" s="617"/>
      <c r="J723" s="491"/>
      <c r="K723" s="492"/>
      <c r="L723" s="493"/>
      <c r="M723" s="494"/>
      <c r="N723" s="491">
        <f t="shared" si="48"/>
        <v>0</v>
      </c>
      <c r="O723" s="631"/>
      <c r="Q723" s="595"/>
      <c r="R723" s="484"/>
      <c r="S723" s="595"/>
      <c r="T723" s="595"/>
      <c r="U723" s="595"/>
    </row>
    <row r="724" spans="2:21" s="505" customFormat="1" ht="14.1" customHeight="1">
      <c r="B724" s="951"/>
      <c r="C724" s="600"/>
      <c r="D724" s="602"/>
      <c r="E724" s="612"/>
      <c r="F724" s="613"/>
      <c r="G724" s="610"/>
      <c r="H724" s="614"/>
      <c r="I724" s="618"/>
      <c r="J724" s="495"/>
      <c r="K724" s="494">
        <f>SUM(J723:J723)</f>
        <v>0</v>
      </c>
      <c r="L724" s="493"/>
      <c r="M724" s="494"/>
      <c r="N724" s="491">
        <f t="shared" si="48"/>
        <v>0</v>
      </c>
      <c r="O724" s="631"/>
      <c r="Q724" s="595"/>
      <c r="R724" s="484"/>
      <c r="S724" s="595"/>
      <c r="T724" s="595"/>
      <c r="U724" s="595"/>
    </row>
    <row r="725" spans="2:21" s="505" customFormat="1" ht="14.1" customHeight="1">
      <c r="B725" s="951"/>
      <c r="C725" s="605" t="s">
        <v>216</v>
      </c>
      <c r="D725" s="619" t="s">
        <v>219</v>
      </c>
      <c r="E725" s="613"/>
      <c r="F725" s="613"/>
      <c r="G725" s="610"/>
      <c r="H725" s="614"/>
      <c r="I725" s="618"/>
      <c r="J725" s="497" t="s">
        <v>220</v>
      </c>
      <c r="K725" s="494">
        <f>K717+K722+K724</f>
        <v>150194</v>
      </c>
      <c r="L725" s="620">
        <f>N725/K725</f>
        <v>0.48380794172869757</v>
      </c>
      <c r="M725" s="497"/>
      <c r="N725" s="498">
        <f>SUM(N714:N724)</f>
        <v>72665.05</v>
      </c>
      <c r="O725" s="631"/>
      <c r="Q725" s="595"/>
      <c r="R725" s="484"/>
      <c r="S725" s="595"/>
      <c r="T725" s="595"/>
      <c r="U725" s="595"/>
    </row>
    <row r="726" spans="2:21" s="505" customFormat="1" ht="14.1" customHeight="1">
      <c r="B726" s="951"/>
      <c r="C726" s="600" t="s">
        <v>217</v>
      </c>
      <c r="D726" s="619" t="s">
        <v>221</v>
      </c>
      <c r="E726" s="613"/>
      <c r="F726" s="499">
        <f>$F$48</f>
        <v>0.1</v>
      </c>
      <c r="G726" s="605" t="s">
        <v>168</v>
      </c>
      <c r="H726" s="499">
        <f>$H$48</f>
        <v>0.02</v>
      </c>
      <c r="I726" s="621" t="s">
        <v>167</v>
      </c>
      <c r="J726" s="494" t="s">
        <v>216</v>
      </c>
      <c r="K726" s="500">
        <f>ROUND((K725*(F726+H726)),2)</f>
        <v>18023.28</v>
      </c>
      <c r="L726" s="494"/>
      <c r="M726" s="494"/>
      <c r="N726" s="494"/>
      <c r="O726" s="631"/>
      <c r="Q726" s="595"/>
      <c r="R726" s="484"/>
      <c r="S726" s="595"/>
      <c r="T726" s="595"/>
      <c r="U726" s="595"/>
    </row>
    <row r="727" spans="2:21" s="505" customFormat="1" ht="14.1" customHeight="1">
      <c r="B727" s="951"/>
      <c r="C727" s="622" t="s">
        <v>222</v>
      </c>
      <c r="D727" s="623" t="s">
        <v>76</v>
      </c>
      <c r="E727" s="624"/>
      <c r="F727" s="624"/>
      <c r="G727" s="624"/>
      <c r="H727" s="625"/>
      <c r="I727" s="624"/>
      <c r="J727" s="626" t="s">
        <v>226</v>
      </c>
      <c r="K727" s="627">
        <f>SUM(K725:K726)</f>
        <v>168217.28</v>
      </c>
      <c r="L727" s="620"/>
      <c r="M727" s="626"/>
      <c r="N727" s="635"/>
      <c r="O727" s="631"/>
      <c r="Q727" s="595"/>
      <c r="R727" s="484"/>
      <c r="S727" s="595"/>
      <c r="T727" s="595"/>
      <c r="U727" s="595"/>
    </row>
    <row r="728" spans="2:21">
      <c r="Q728" s="595"/>
      <c r="R728" s="484"/>
      <c r="S728" s="595"/>
      <c r="T728" s="595"/>
      <c r="U728" s="595"/>
    </row>
    <row r="729" spans="2:21" s="485" customFormat="1" ht="14.1" hidden="1" customHeight="1">
      <c r="B729" s="951">
        <f>B709+1</f>
        <v>38</v>
      </c>
      <c r="C729" s="488"/>
      <c r="D729" s="485" t="s">
        <v>513</v>
      </c>
      <c r="H729" s="488"/>
      <c r="K729" s="591" t="s">
        <v>454</v>
      </c>
      <c r="L729" s="591"/>
      <c r="M729" s="591"/>
      <c r="N729" s="591"/>
      <c r="O729" s="485" t="str">
        <f>D730</f>
        <v>m2</v>
      </c>
      <c r="P729" s="636">
        <f>K748</f>
        <v>801575.71</v>
      </c>
      <c r="Q729" s="593">
        <f>L746</f>
        <v>0.49407031454565831</v>
      </c>
      <c r="R729" s="484">
        <f>N746</f>
        <v>353602.46799999999</v>
      </c>
      <c r="S729" s="594"/>
      <c r="T729" s="484"/>
      <c r="U729" s="593"/>
    </row>
    <row r="730" spans="2:21" s="485" customFormat="1" ht="14.1" hidden="1" customHeight="1">
      <c r="B730" s="951"/>
      <c r="C730" s="488"/>
      <c r="D730" s="485" t="s">
        <v>100</v>
      </c>
      <c r="H730" s="488"/>
      <c r="Q730" s="595"/>
      <c r="R730" s="484"/>
      <c r="S730" s="595"/>
      <c r="T730" s="595"/>
      <c r="U730" s="595"/>
    </row>
    <row r="731" spans="2:21" s="485" customFormat="1" ht="14.1" hidden="1" customHeight="1">
      <c r="B731" s="951"/>
      <c r="C731" s="488"/>
      <c r="H731" s="488"/>
      <c r="Q731" s="595"/>
      <c r="R731" s="484"/>
      <c r="S731" s="595"/>
      <c r="T731" s="595"/>
      <c r="U731" s="595"/>
    </row>
    <row r="732" spans="2:21" s="485" customFormat="1" ht="14.1" hidden="1" customHeight="1">
      <c r="B732" s="951"/>
      <c r="C732" s="596"/>
      <c r="D732" s="977" t="s">
        <v>55</v>
      </c>
      <c r="E732" s="978"/>
      <c r="F732" s="597"/>
      <c r="G732" s="981" t="s">
        <v>56</v>
      </c>
      <c r="H732" s="981" t="s">
        <v>57</v>
      </c>
      <c r="I732" s="596" t="s">
        <v>58</v>
      </c>
      <c r="J732" s="596" t="s">
        <v>59</v>
      </c>
      <c r="K732" s="596" t="s">
        <v>102</v>
      </c>
      <c r="L732" s="596" t="s">
        <v>418</v>
      </c>
      <c r="M732" s="596" t="s">
        <v>419</v>
      </c>
      <c r="N732" s="596" t="s">
        <v>59</v>
      </c>
      <c r="Q732" s="595"/>
      <c r="R732" s="484"/>
      <c r="S732" s="595"/>
      <c r="T732" s="595"/>
      <c r="U732" s="595"/>
    </row>
    <row r="733" spans="2:21" s="485" customFormat="1" ht="14.1" hidden="1" customHeight="1">
      <c r="B733" s="951"/>
      <c r="C733" s="598" t="s">
        <v>227</v>
      </c>
      <c r="D733" s="979"/>
      <c r="E733" s="980"/>
      <c r="F733" s="599"/>
      <c r="G733" s="982"/>
      <c r="H733" s="982"/>
      <c r="I733" s="598" t="s">
        <v>60</v>
      </c>
      <c r="J733" s="598" t="s">
        <v>61</v>
      </c>
      <c r="K733" s="598" t="s">
        <v>61</v>
      </c>
      <c r="L733" s="598" t="s">
        <v>421</v>
      </c>
      <c r="M733" s="598"/>
      <c r="N733" s="598" t="s">
        <v>423</v>
      </c>
      <c r="Q733" s="595"/>
      <c r="R733" s="484"/>
      <c r="S733" s="595"/>
      <c r="T733" s="595"/>
      <c r="U733" s="595"/>
    </row>
    <row r="734" spans="2:21" s="485" customFormat="1" ht="14.1" hidden="1" customHeight="1">
      <c r="B734" s="951"/>
      <c r="C734" s="600"/>
      <c r="D734" s="969"/>
      <c r="E734" s="970"/>
      <c r="F734" s="601"/>
      <c r="G734" s="973"/>
      <c r="H734" s="973"/>
      <c r="I734" s="600" t="s">
        <v>61</v>
      </c>
      <c r="J734" s="602"/>
      <c r="K734" s="602"/>
      <c r="L734" s="602"/>
      <c r="M734" s="602"/>
      <c r="N734" s="600" t="s">
        <v>61</v>
      </c>
      <c r="Q734" s="595"/>
      <c r="R734" s="484"/>
      <c r="S734" s="595"/>
      <c r="T734" s="595"/>
      <c r="U734" s="595"/>
    </row>
    <row r="735" spans="2:21" s="485" customFormat="1" ht="14.1" hidden="1" customHeight="1">
      <c r="B735" s="951"/>
      <c r="C735" s="596" t="s">
        <v>213</v>
      </c>
      <c r="D735" s="607" t="s">
        <v>62</v>
      </c>
      <c r="E735" s="637" t="s">
        <v>204</v>
      </c>
      <c r="F735" s="637"/>
      <c r="G735" s="605" t="s">
        <v>83</v>
      </c>
      <c r="H735" s="616">
        <v>4.4000000000000004</v>
      </c>
      <c r="I735" s="491">
        <f>'UPH-TNG'!I125</f>
        <v>120000</v>
      </c>
      <c r="J735" s="491">
        <f>ROUND(H735*I735,2)</f>
        <v>528000</v>
      </c>
      <c r="K735" s="603"/>
      <c r="L735" s="501">
        <f>L714</f>
        <v>0.50570000000000004</v>
      </c>
      <c r="M735" s="494" t="s">
        <v>429</v>
      </c>
      <c r="N735" s="491">
        <f t="shared" ref="N735:N745" si="49">L735*J735</f>
        <v>267009.60000000003</v>
      </c>
      <c r="Q735" s="595"/>
      <c r="R735" s="484"/>
      <c r="S735" s="595"/>
      <c r="T735" s="595"/>
      <c r="U735" s="595"/>
    </row>
    <row r="736" spans="2:21" s="485" customFormat="1" ht="14.1" hidden="1" customHeight="1">
      <c r="B736" s="951"/>
      <c r="C736" s="607"/>
      <c r="D736" s="607"/>
      <c r="E736" s="637" t="s">
        <v>37</v>
      </c>
      <c r="F736" s="637"/>
      <c r="G736" s="605" t="s">
        <v>83</v>
      </c>
      <c r="H736" s="616">
        <v>14.6</v>
      </c>
      <c r="I736" s="491">
        <f>'UPH-TNG'!$I$36</f>
        <v>9400</v>
      </c>
      <c r="J736" s="491">
        <f>ROUND(H736*I736,2)</f>
        <v>137240</v>
      </c>
      <c r="K736" s="607"/>
      <c r="L736" s="501">
        <f>$L$735</f>
        <v>0.50570000000000004</v>
      </c>
      <c r="M736" s="494" t="s">
        <v>429</v>
      </c>
      <c r="N736" s="491">
        <f t="shared" si="49"/>
        <v>69402.268000000011</v>
      </c>
      <c r="P736" s="573">
        <f>1/0.08</f>
        <v>12.5</v>
      </c>
      <c r="Q736" s="595"/>
      <c r="R736" s="484"/>
      <c r="S736" s="595"/>
      <c r="T736" s="595"/>
      <c r="U736" s="595"/>
    </row>
    <row r="737" spans="2:21" s="485" customFormat="1" ht="14.1" hidden="1" customHeight="1">
      <c r="B737" s="951"/>
      <c r="C737" s="666"/>
      <c r="D737" s="666"/>
      <c r="E737" s="676" t="s">
        <v>519</v>
      </c>
      <c r="F737" s="637"/>
      <c r="G737" s="605" t="s">
        <v>49</v>
      </c>
      <c r="H737" s="616">
        <v>1</v>
      </c>
      <c r="I737" s="632">
        <f>+(SUM(J735:J736)*5%)</f>
        <v>33262</v>
      </c>
      <c r="J737" s="491">
        <f>ROUND(H737*I737,2)</f>
        <v>33262</v>
      </c>
      <c r="K737" s="607"/>
      <c r="L737" s="501">
        <v>0</v>
      </c>
      <c r="M737" s="494"/>
      <c r="N737" s="491">
        <f t="shared" si="49"/>
        <v>0</v>
      </c>
      <c r="Q737" s="595"/>
      <c r="R737" s="484"/>
      <c r="S737" s="595"/>
      <c r="T737" s="595"/>
      <c r="U737" s="595"/>
    </row>
    <row r="738" spans="2:21" s="485" customFormat="1" ht="14.1" hidden="1" customHeight="1">
      <c r="B738" s="951"/>
      <c r="C738" s="600"/>
      <c r="D738" s="607"/>
      <c r="E738" s="642"/>
      <c r="F738" s="643"/>
      <c r="G738" s="610"/>
      <c r="H738" s="614"/>
      <c r="I738" s="504"/>
      <c r="J738" s="495"/>
      <c r="K738" s="491">
        <f>SUM(J735:J737)</f>
        <v>698502</v>
      </c>
      <c r="L738" s="493"/>
      <c r="M738" s="494"/>
      <c r="N738" s="491">
        <f t="shared" si="49"/>
        <v>0</v>
      </c>
      <c r="Q738" s="595"/>
      <c r="R738" s="484"/>
      <c r="S738" s="595"/>
      <c r="T738" s="595"/>
      <c r="U738" s="595"/>
    </row>
    <row r="739" spans="2:21" s="485" customFormat="1" ht="14.1" hidden="1" customHeight="1">
      <c r="B739" s="951"/>
      <c r="C739" s="596" t="s">
        <v>214</v>
      </c>
      <c r="D739" s="603" t="s">
        <v>63</v>
      </c>
      <c r="E739" s="615" t="s">
        <v>69</v>
      </c>
      <c r="F739" s="615"/>
      <c r="G739" s="605" t="s">
        <v>66</v>
      </c>
      <c r="H739" s="616">
        <v>8.5000000000000006E-2</v>
      </c>
      <c r="I739" s="491">
        <f>'UPH-TNG'!$I$15</f>
        <v>92000</v>
      </c>
      <c r="J739" s="491">
        <f>ROUND(H739*I739,2)</f>
        <v>7820</v>
      </c>
      <c r="K739" s="603"/>
      <c r="L739" s="493">
        <v>1</v>
      </c>
      <c r="M739" s="493" t="s">
        <v>422</v>
      </c>
      <c r="N739" s="491">
        <f t="shared" si="49"/>
        <v>7820</v>
      </c>
      <c r="Q739" s="595"/>
      <c r="R739" s="484"/>
      <c r="S739" s="595"/>
      <c r="T739" s="595"/>
      <c r="U739" s="595"/>
    </row>
    <row r="740" spans="2:21" s="485" customFormat="1" ht="14.1" hidden="1" customHeight="1">
      <c r="B740" s="951"/>
      <c r="C740" s="607"/>
      <c r="D740" s="607"/>
      <c r="E740" s="615" t="s">
        <v>148</v>
      </c>
      <c r="F740" s="615"/>
      <c r="G740" s="605" t="s">
        <v>66</v>
      </c>
      <c r="H740" s="616">
        <v>8.5000000000000006E-2</v>
      </c>
      <c r="I740" s="491">
        <f>'UPH-TNG'!$I$22</f>
        <v>95000</v>
      </c>
      <c r="J740" s="491">
        <f>ROUND(H740*I740,2)</f>
        <v>8075</v>
      </c>
      <c r="K740" s="496"/>
      <c r="L740" s="493">
        <v>1</v>
      </c>
      <c r="M740" s="493" t="s">
        <v>422</v>
      </c>
      <c r="N740" s="491">
        <f t="shared" si="49"/>
        <v>8075</v>
      </c>
      <c r="Q740" s="595"/>
      <c r="R740" s="484"/>
      <c r="S740" s="595"/>
      <c r="T740" s="595"/>
      <c r="U740" s="595"/>
    </row>
    <row r="741" spans="2:21" s="485" customFormat="1" ht="14.1" hidden="1" customHeight="1">
      <c r="B741" s="951"/>
      <c r="C741" s="598"/>
      <c r="D741" s="607"/>
      <c r="E741" s="615" t="s">
        <v>71</v>
      </c>
      <c r="F741" s="615"/>
      <c r="G741" s="605" t="s">
        <v>66</v>
      </c>
      <c r="H741" s="656">
        <v>8.5000000000000006E-3</v>
      </c>
      <c r="I741" s="494">
        <f>'UPH-TNG'!$I$17</f>
        <v>104000</v>
      </c>
      <c r="J741" s="491">
        <f>ROUND(H741*I741,2)</f>
        <v>884</v>
      </c>
      <c r="K741" s="496"/>
      <c r="L741" s="493">
        <v>1</v>
      </c>
      <c r="M741" s="493" t="s">
        <v>422</v>
      </c>
      <c r="N741" s="491">
        <f t="shared" si="49"/>
        <v>884</v>
      </c>
      <c r="Q741" s="595"/>
      <c r="R741" s="484"/>
      <c r="S741" s="595"/>
      <c r="T741" s="595"/>
      <c r="U741" s="595"/>
    </row>
    <row r="742" spans="2:21" s="485" customFormat="1" ht="14.1" hidden="1" customHeight="1">
      <c r="B742" s="951"/>
      <c r="C742" s="607"/>
      <c r="D742" s="607"/>
      <c r="E742" s="615" t="s">
        <v>65</v>
      </c>
      <c r="F742" s="615"/>
      <c r="G742" s="605" t="s">
        <v>66</v>
      </c>
      <c r="H742" s="656">
        <v>4.1999999999999997E-3</v>
      </c>
      <c r="I742" s="491">
        <f>'UPH-TNG'!$I$20</f>
        <v>98000</v>
      </c>
      <c r="J742" s="491">
        <f>ROUND(H742*I742,2)</f>
        <v>411.6</v>
      </c>
      <c r="K742" s="496"/>
      <c r="L742" s="493">
        <v>1</v>
      </c>
      <c r="M742" s="493" t="s">
        <v>422</v>
      </c>
      <c r="N742" s="491">
        <f t="shared" si="49"/>
        <v>411.6</v>
      </c>
      <c r="Q742" s="595"/>
      <c r="R742" s="484"/>
      <c r="S742" s="595"/>
      <c r="T742" s="595"/>
      <c r="U742" s="595"/>
    </row>
    <row r="743" spans="2:21" s="485" customFormat="1" ht="14.1" hidden="1" customHeight="1">
      <c r="B743" s="951"/>
      <c r="C743" s="600"/>
      <c r="D743" s="602"/>
      <c r="E743" s="612"/>
      <c r="F743" s="613"/>
      <c r="G743" s="610"/>
      <c r="H743" s="677"/>
      <c r="I743" s="504"/>
      <c r="J743" s="678"/>
      <c r="K743" s="494">
        <f>SUM(J739:J742)</f>
        <v>17190.599999999999</v>
      </c>
      <c r="L743" s="493"/>
      <c r="M743" s="494"/>
      <c r="N743" s="491">
        <f t="shared" si="49"/>
        <v>0</v>
      </c>
      <c r="Q743" s="595"/>
      <c r="R743" s="484"/>
      <c r="S743" s="595"/>
      <c r="T743" s="595"/>
      <c r="U743" s="595"/>
    </row>
    <row r="744" spans="2:21" s="485" customFormat="1" ht="14.1" hidden="1" customHeight="1">
      <c r="B744" s="951"/>
      <c r="C744" s="598" t="s">
        <v>215</v>
      </c>
      <c r="D744" s="603" t="s">
        <v>212</v>
      </c>
      <c r="E744" s="615"/>
      <c r="F744" s="615"/>
      <c r="G744" s="605"/>
      <c r="H744" s="616"/>
      <c r="I744" s="617"/>
      <c r="J744" s="491"/>
      <c r="K744" s="492"/>
      <c r="L744" s="493"/>
      <c r="M744" s="494"/>
      <c r="N744" s="491">
        <f t="shared" si="49"/>
        <v>0</v>
      </c>
      <c r="Q744" s="595"/>
      <c r="R744" s="484"/>
      <c r="S744" s="595"/>
      <c r="T744" s="595"/>
      <c r="U744" s="595"/>
    </row>
    <row r="745" spans="2:21" s="485" customFormat="1" ht="14.1" hidden="1" customHeight="1">
      <c r="B745" s="951"/>
      <c r="C745" s="602"/>
      <c r="D745" s="602"/>
      <c r="E745" s="612"/>
      <c r="F745" s="613"/>
      <c r="G745" s="610"/>
      <c r="H745" s="614"/>
      <c r="I745" s="618"/>
      <c r="J745" s="495"/>
      <c r="K745" s="494">
        <f>SUM(J744:J744)</f>
        <v>0</v>
      </c>
      <c r="L745" s="493"/>
      <c r="M745" s="494"/>
      <c r="N745" s="491">
        <f t="shared" si="49"/>
        <v>0</v>
      </c>
      <c r="Q745" s="595"/>
      <c r="R745" s="484"/>
      <c r="S745" s="595"/>
      <c r="T745" s="595"/>
      <c r="U745" s="595"/>
    </row>
    <row r="746" spans="2:21" s="485" customFormat="1" ht="14.1" hidden="1" customHeight="1">
      <c r="B746" s="951"/>
      <c r="C746" s="600" t="s">
        <v>216</v>
      </c>
      <c r="D746" s="619" t="s">
        <v>219</v>
      </c>
      <c r="E746" s="613"/>
      <c r="F746" s="613"/>
      <c r="G746" s="610"/>
      <c r="H746" s="614"/>
      <c r="I746" s="618"/>
      <c r="J746" s="497" t="s">
        <v>220</v>
      </c>
      <c r="K746" s="494">
        <f>K738+K743+K745</f>
        <v>715692.6</v>
      </c>
      <c r="L746" s="620">
        <f>N746/K746</f>
        <v>0.49407031454565831</v>
      </c>
      <c r="M746" s="497"/>
      <c r="N746" s="498">
        <f>SUM(N734:N745)</f>
        <v>353602.46799999999</v>
      </c>
      <c r="Q746" s="595"/>
      <c r="R746" s="484"/>
      <c r="S746" s="595"/>
      <c r="T746" s="595"/>
      <c r="U746" s="595"/>
    </row>
    <row r="747" spans="2:21" s="485" customFormat="1" ht="14.1" hidden="1" customHeight="1">
      <c r="B747" s="951"/>
      <c r="C747" s="600" t="s">
        <v>217</v>
      </c>
      <c r="D747" s="619" t="s">
        <v>221</v>
      </c>
      <c r="E747" s="613"/>
      <c r="F747" s="499">
        <f>$F$48</f>
        <v>0.1</v>
      </c>
      <c r="G747" s="605" t="s">
        <v>168</v>
      </c>
      <c r="H747" s="499">
        <f>$H$48</f>
        <v>0.02</v>
      </c>
      <c r="I747" s="621" t="s">
        <v>167</v>
      </c>
      <c r="J747" s="494" t="s">
        <v>216</v>
      </c>
      <c r="K747" s="500">
        <f>ROUND((K746*(F747+H747)),2)</f>
        <v>85883.11</v>
      </c>
      <c r="L747" s="494"/>
      <c r="M747" s="494"/>
      <c r="N747" s="494"/>
      <c r="Q747" s="595"/>
      <c r="R747" s="484"/>
      <c r="S747" s="595"/>
      <c r="T747" s="595"/>
      <c r="U747" s="595"/>
    </row>
    <row r="748" spans="2:21" s="485" customFormat="1" ht="14.1" hidden="1" customHeight="1">
      <c r="B748" s="951"/>
      <c r="C748" s="622" t="s">
        <v>222</v>
      </c>
      <c r="D748" s="623" t="s">
        <v>76</v>
      </c>
      <c r="E748" s="624"/>
      <c r="F748" s="624"/>
      <c r="G748" s="624"/>
      <c r="H748" s="625"/>
      <c r="I748" s="624"/>
      <c r="J748" s="626" t="s">
        <v>226</v>
      </c>
      <c r="K748" s="627">
        <f>SUM(K746:K747)</f>
        <v>801575.71</v>
      </c>
      <c r="L748" s="620"/>
      <c r="M748" s="626"/>
      <c r="N748" s="635"/>
      <c r="Q748" s="595"/>
      <c r="R748" s="484"/>
      <c r="S748" s="595"/>
      <c r="T748" s="595"/>
      <c r="U748" s="595"/>
    </row>
    <row r="749" spans="2:21" hidden="1">
      <c r="Q749" s="595"/>
      <c r="R749" s="484"/>
      <c r="S749" s="595"/>
      <c r="T749" s="595"/>
      <c r="U749" s="595"/>
    </row>
    <row r="750" spans="2:21" s="505" customFormat="1" ht="14.1" customHeight="1">
      <c r="B750" s="951">
        <f>B729+1</f>
        <v>39</v>
      </c>
      <c r="C750" s="488"/>
      <c r="D750" s="485" t="s">
        <v>646</v>
      </c>
      <c r="E750" s="485"/>
      <c r="F750" s="485"/>
      <c r="G750" s="485"/>
      <c r="H750" s="488"/>
      <c r="I750" s="485"/>
      <c r="J750" s="485"/>
      <c r="K750" s="591" t="s">
        <v>453</v>
      </c>
      <c r="L750" s="591"/>
      <c r="M750" s="591"/>
      <c r="N750" s="591"/>
      <c r="O750" s="631" t="str">
        <f>D751</f>
        <v>m2</v>
      </c>
      <c r="P750" s="595">
        <f>K770</f>
        <v>930379.52</v>
      </c>
      <c r="Q750" s="593">
        <f>L768</f>
        <v>0.46233327234030269</v>
      </c>
      <c r="R750" s="484">
        <f>N768</f>
        <v>384058.40000000008</v>
      </c>
      <c r="S750" s="594"/>
      <c r="T750" s="484"/>
      <c r="U750" s="593"/>
    </row>
    <row r="751" spans="2:21" s="505" customFormat="1" ht="14.1" customHeight="1">
      <c r="B751" s="951"/>
      <c r="C751" s="488"/>
      <c r="D751" s="485" t="s">
        <v>100</v>
      </c>
      <c r="E751" s="485"/>
      <c r="F751" s="485"/>
      <c r="G751" s="485"/>
      <c r="H751" s="488"/>
      <c r="I751" s="485"/>
      <c r="J751" s="485"/>
      <c r="K751" s="485"/>
      <c r="L751" s="485"/>
      <c r="M751" s="485"/>
      <c r="N751" s="485"/>
      <c r="O751" s="631"/>
      <c r="Q751" s="595"/>
      <c r="R751" s="484"/>
      <c r="S751" s="595"/>
      <c r="T751" s="595"/>
      <c r="U751" s="595"/>
    </row>
    <row r="752" spans="2:21" s="505" customFormat="1" ht="14.1" customHeight="1">
      <c r="B752" s="951"/>
      <c r="C752" s="596"/>
      <c r="D752" s="977" t="s">
        <v>55</v>
      </c>
      <c r="E752" s="978"/>
      <c r="F752" s="597"/>
      <c r="G752" s="981" t="s">
        <v>56</v>
      </c>
      <c r="H752" s="981" t="s">
        <v>57</v>
      </c>
      <c r="I752" s="596" t="s">
        <v>58</v>
      </c>
      <c r="J752" s="596" t="s">
        <v>59</v>
      </c>
      <c r="K752" s="596" t="s">
        <v>102</v>
      </c>
      <c r="L752" s="596" t="s">
        <v>418</v>
      </c>
      <c r="M752" s="596" t="s">
        <v>419</v>
      </c>
      <c r="N752" s="596" t="s">
        <v>59</v>
      </c>
      <c r="O752" s="631"/>
      <c r="Q752" s="595"/>
      <c r="R752" s="484"/>
      <c r="S752" s="595"/>
      <c r="T752" s="595"/>
      <c r="U752" s="595"/>
    </row>
    <row r="753" spans="2:21" s="505" customFormat="1" ht="14.1" customHeight="1">
      <c r="B753" s="951"/>
      <c r="C753" s="598" t="s">
        <v>227</v>
      </c>
      <c r="D753" s="979"/>
      <c r="E753" s="980"/>
      <c r="F753" s="599"/>
      <c r="G753" s="982"/>
      <c r="H753" s="982"/>
      <c r="I753" s="598" t="s">
        <v>60</v>
      </c>
      <c r="J753" s="598" t="s">
        <v>61</v>
      </c>
      <c r="K753" s="598" t="s">
        <v>61</v>
      </c>
      <c r="L753" s="598" t="s">
        <v>421</v>
      </c>
      <c r="M753" s="598"/>
      <c r="N753" s="598" t="s">
        <v>423</v>
      </c>
      <c r="O753" s="631"/>
      <c r="Q753" s="595"/>
      <c r="R753" s="484"/>
      <c r="S753" s="595"/>
      <c r="T753" s="595"/>
      <c r="U753" s="595"/>
    </row>
    <row r="754" spans="2:21" s="505" customFormat="1" ht="14.1" customHeight="1">
      <c r="B754" s="951"/>
      <c r="C754" s="600"/>
      <c r="D754" s="969"/>
      <c r="E754" s="970"/>
      <c r="F754" s="601"/>
      <c r="G754" s="973"/>
      <c r="H754" s="973"/>
      <c r="I754" s="600" t="s">
        <v>61</v>
      </c>
      <c r="J754" s="602"/>
      <c r="K754" s="602"/>
      <c r="L754" s="602"/>
      <c r="M754" s="602"/>
      <c r="N754" s="600" t="s">
        <v>61</v>
      </c>
      <c r="O754" s="631"/>
      <c r="Q754" s="595"/>
      <c r="R754" s="484"/>
      <c r="S754" s="595"/>
      <c r="T754" s="595"/>
      <c r="U754" s="595"/>
    </row>
    <row r="755" spans="2:21" s="505" customFormat="1" ht="14.1" customHeight="1">
      <c r="B755" s="951"/>
      <c r="C755" s="596" t="s">
        <v>213</v>
      </c>
      <c r="D755" s="607" t="s">
        <v>62</v>
      </c>
      <c r="E755" s="637" t="s">
        <v>204</v>
      </c>
      <c r="F755" s="637"/>
      <c r="G755" s="605" t="s">
        <v>83</v>
      </c>
      <c r="H755" s="616">
        <v>4.4000000000000004</v>
      </c>
      <c r="I755" s="500">
        <f>'UPH-TNG'!$I$125</f>
        <v>120000</v>
      </c>
      <c r="J755" s="491">
        <f>ROUND(H755*I755,2)</f>
        <v>528000</v>
      </c>
      <c r="K755" s="603"/>
      <c r="L755" s="501">
        <f>$L$735</f>
        <v>0.50570000000000004</v>
      </c>
      <c r="M755" s="494" t="s">
        <v>429</v>
      </c>
      <c r="N755" s="491">
        <f t="shared" ref="N755:N767" si="50">L755*J755</f>
        <v>267009.60000000003</v>
      </c>
      <c r="O755" s="631"/>
      <c r="Q755" s="595"/>
      <c r="R755" s="484"/>
      <c r="S755" s="595"/>
      <c r="T755" s="595"/>
      <c r="U755" s="595"/>
    </row>
    <row r="756" spans="2:21" s="505" customFormat="1" ht="14.1" customHeight="1">
      <c r="B756" s="951"/>
      <c r="C756" s="670"/>
      <c r="D756" s="666"/>
      <c r="E756" s="679" t="s">
        <v>451</v>
      </c>
      <c r="F756" s="679"/>
      <c r="G756" s="673" t="s">
        <v>100</v>
      </c>
      <c r="H756" s="680">
        <v>1.1000000000000001</v>
      </c>
      <c r="I756" s="518">
        <f>'UPH-TNG'!$I$71</f>
        <v>129000</v>
      </c>
      <c r="J756" s="491">
        <f>ROUND(H756*I756,2)</f>
        <v>141900</v>
      </c>
      <c r="K756" s="666"/>
      <c r="L756" s="501">
        <v>0.57130000000000003</v>
      </c>
      <c r="M756" s="494" t="s">
        <v>429</v>
      </c>
      <c r="N756" s="491">
        <f t="shared" si="50"/>
        <v>81067.47</v>
      </c>
      <c r="O756" s="631"/>
      <c r="Q756" s="595"/>
      <c r="R756" s="484"/>
      <c r="S756" s="595"/>
      <c r="T756" s="595"/>
      <c r="U756" s="595"/>
    </row>
    <row r="757" spans="2:21" s="505" customFormat="1" ht="14.1" customHeight="1">
      <c r="B757" s="951"/>
      <c r="C757" s="607"/>
      <c r="D757" s="607"/>
      <c r="E757" s="637" t="s">
        <v>205</v>
      </c>
      <c r="F757" s="637"/>
      <c r="G757" s="605" t="s">
        <v>83</v>
      </c>
      <c r="H757" s="616">
        <v>4.5</v>
      </c>
      <c r="I757" s="500">
        <f>'UPH-TNG'!$I$124</f>
        <v>8200</v>
      </c>
      <c r="J757" s="491">
        <f>ROUND(H757*I757,2)</f>
        <v>36900</v>
      </c>
      <c r="K757" s="607"/>
      <c r="L757" s="501">
        <f>$L$735</f>
        <v>0.50570000000000004</v>
      </c>
      <c r="M757" s="494" t="s">
        <v>429</v>
      </c>
      <c r="N757" s="491">
        <f t="shared" si="50"/>
        <v>18660.330000000002</v>
      </c>
      <c r="O757" s="631"/>
      <c r="Q757" s="595"/>
      <c r="R757" s="484"/>
      <c r="S757" s="595"/>
      <c r="T757" s="595"/>
      <c r="U757" s="595"/>
    </row>
    <row r="758" spans="2:21" s="505" customFormat="1" ht="14.1" customHeight="1">
      <c r="B758" s="951"/>
      <c r="C758" s="607"/>
      <c r="D758" s="607"/>
      <c r="E758" s="637" t="s">
        <v>35</v>
      </c>
      <c r="F758" s="637"/>
      <c r="G758" s="605" t="s">
        <v>38</v>
      </c>
      <c r="H758" s="616">
        <v>0.27</v>
      </c>
      <c r="I758" s="500">
        <f>'UPH-TNG'!$I$131</f>
        <v>60000</v>
      </c>
      <c r="J758" s="491">
        <f>ROUND(H758*I758,2)</f>
        <v>16200</v>
      </c>
      <c r="K758" s="607"/>
      <c r="L758" s="501">
        <v>0</v>
      </c>
      <c r="M758" s="494"/>
      <c r="N758" s="491">
        <f t="shared" si="50"/>
        <v>0</v>
      </c>
      <c r="O758" s="631"/>
      <c r="Q758" s="595"/>
      <c r="R758" s="484"/>
      <c r="S758" s="595"/>
      <c r="T758" s="595"/>
      <c r="U758" s="595"/>
    </row>
    <row r="759" spans="2:21" s="505" customFormat="1" ht="14.1" customHeight="1">
      <c r="B759" s="951"/>
      <c r="C759" s="666"/>
      <c r="D759" s="666"/>
      <c r="E759" s="676" t="s">
        <v>519</v>
      </c>
      <c r="F759" s="637"/>
      <c r="G759" s="605" t="s">
        <v>49</v>
      </c>
      <c r="H759" s="616">
        <v>1</v>
      </c>
      <c r="I759" s="632">
        <f>+(SUM(J755:J758)*12.5%)</f>
        <v>90375</v>
      </c>
      <c r="J759" s="491">
        <f>ROUND(H759*I759,2)</f>
        <v>90375</v>
      </c>
      <c r="K759" s="607"/>
      <c r="L759" s="501">
        <v>0</v>
      </c>
      <c r="M759" s="494"/>
      <c r="N759" s="491">
        <f t="shared" ref="N759" si="51">L759*J759</f>
        <v>0</v>
      </c>
      <c r="O759" s="631"/>
      <c r="Q759" s="595"/>
      <c r="R759" s="484"/>
      <c r="S759" s="595"/>
      <c r="T759" s="595"/>
      <c r="U759" s="595"/>
    </row>
    <row r="760" spans="2:21" s="505" customFormat="1" ht="14.1" customHeight="1">
      <c r="B760" s="951"/>
      <c r="C760" s="600"/>
      <c r="D760" s="607"/>
      <c r="E760" s="642"/>
      <c r="F760" s="643"/>
      <c r="G760" s="610"/>
      <c r="H760" s="614"/>
      <c r="I760" s="519"/>
      <c r="J760" s="495"/>
      <c r="K760" s="491">
        <f>SUM(J755:J759)</f>
        <v>813375</v>
      </c>
      <c r="L760" s="493"/>
      <c r="M760" s="494"/>
      <c r="N760" s="491">
        <f t="shared" si="50"/>
        <v>0</v>
      </c>
      <c r="O760" s="631"/>
      <c r="Q760" s="595"/>
      <c r="R760" s="484"/>
      <c r="S760" s="595"/>
      <c r="T760" s="595"/>
      <c r="U760" s="595"/>
    </row>
    <row r="761" spans="2:21" s="505" customFormat="1" ht="14.1" customHeight="1">
      <c r="B761" s="951"/>
      <c r="C761" s="596" t="s">
        <v>214</v>
      </c>
      <c r="D761" s="603" t="s">
        <v>63</v>
      </c>
      <c r="E761" s="615" t="s">
        <v>69</v>
      </c>
      <c r="F761" s="615"/>
      <c r="G761" s="605" t="s">
        <v>66</v>
      </c>
      <c r="H761" s="616">
        <v>8.5000000000000006E-2</v>
      </c>
      <c r="I761" s="500">
        <f>'UPH-TNG'!$I$15</f>
        <v>92000</v>
      </c>
      <c r="J761" s="491">
        <f>ROUND(H761*I761,2)</f>
        <v>7820</v>
      </c>
      <c r="K761" s="603"/>
      <c r="L761" s="493">
        <v>1</v>
      </c>
      <c r="M761" s="493" t="s">
        <v>422</v>
      </c>
      <c r="N761" s="491">
        <f t="shared" ref="N761" si="52">L761*J761</f>
        <v>7820</v>
      </c>
      <c r="O761" s="631"/>
      <c r="Q761" s="595"/>
      <c r="R761" s="484"/>
      <c r="S761" s="595"/>
      <c r="T761" s="595"/>
      <c r="U761" s="595"/>
    </row>
    <row r="762" spans="2:21" s="505" customFormat="1" ht="14.1" customHeight="1">
      <c r="B762" s="951"/>
      <c r="C762" s="607"/>
      <c r="D762" s="607"/>
      <c r="E762" s="615" t="s">
        <v>149</v>
      </c>
      <c r="F762" s="615"/>
      <c r="G762" s="605" t="s">
        <v>66</v>
      </c>
      <c r="H762" s="616">
        <v>8.5000000000000006E-2</v>
      </c>
      <c r="I762" s="500">
        <f>'UPH-TNG'!$I$22</f>
        <v>95000</v>
      </c>
      <c r="J762" s="491">
        <f>ROUND(H762*I762,2)</f>
        <v>8075</v>
      </c>
      <c r="K762" s="496"/>
      <c r="L762" s="493">
        <v>1</v>
      </c>
      <c r="M762" s="493" t="s">
        <v>422</v>
      </c>
      <c r="N762" s="491">
        <f t="shared" si="50"/>
        <v>8075</v>
      </c>
      <c r="O762" s="631"/>
      <c r="Q762" s="595"/>
      <c r="R762" s="484"/>
      <c r="S762" s="595"/>
      <c r="T762" s="595"/>
      <c r="U762" s="595"/>
    </row>
    <row r="763" spans="2:21" s="505" customFormat="1" ht="14.1" customHeight="1">
      <c r="B763" s="951"/>
      <c r="C763" s="607"/>
      <c r="D763" s="607"/>
      <c r="E763" s="615" t="s">
        <v>71</v>
      </c>
      <c r="F763" s="615"/>
      <c r="G763" s="605" t="s">
        <v>66</v>
      </c>
      <c r="H763" s="616">
        <v>8.9999999999999993E-3</v>
      </c>
      <c r="I763" s="520">
        <f>'UPH-TNG'!$I$17</f>
        <v>104000</v>
      </c>
      <c r="J763" s="491">
        <f>ROUND(H763*I763,2)</f>
        <v>936</v>
      </c>
      <c r="K763" s="496"/>
      <c r="L763" s="493">
        <v>1</v>
      </c>
      <c r="M763" s="493" t="s">
        <v>422</v>
      </c>
      <c r="N763" s="491">
        <f t="shared" ref="N763:N764" si="53">L763*J763</f>
        <v>936</v>
      </c>
      <c r="O763" s="631"/>
      <c r="Q763" s="595"/>
      <c r="R763" s="484"/>
      <c r="S763" s="595"/>
      <c r="T763" s="595"/>
      <c r="U763" s="595"/>
    </row>
    <row r="764" spans="2:21" ht="14.1" customHeight="1">
      <c r="B764" s="951"/>
      <c r="C764" s="607"/>
      <c r="D764" s="607"/>
      <c r="E764" s="615" t="s">
        <v>65</v>
      </c>
      <c r="F764" s="615"/>
      <c r="G764" s="605" t="s">
        <v>66</v>
      </c>
      <c r="H764" s="616">
        <v>5.0000000000000001E-3</v>
      </c>
      <c r="I764" s="500">
        <f>'UPH-TNG'!$I$20</f>
        <v>98000</v>
      </c>
      <c r="J764" s="491">
        <f>ROUND(H764*I764,2)</f>
        <v>490</v>
      </c>
      <c r="K764" s="496"/>
      <c r="L764" s="493">
        <v>1</v>
      </c>
      <c r="M764" s="493" t="s">
        <v>422</v>
      </c>
      <c r="N764" s="491">
        <f t="shared" si="53"/>
        <v>490</v>
      </c>
      <c r="Q764" s="595"/>
      <c r="R764" s="484"/>
      <c r="S764" s="595"/>
      <c r="T764" s="595"/>
      <c r="U764" s="595"/>
    </row>
    <row r="765" spans="2:21" ht="14.1" customHeight="1">
      <c r="B765" s="951"/>
      <c r="C765" s="600"/>
      <c r="D765" s="602"/>
      <c r="E765" s="612"/>
      <c r="F765" s="613"/>
      <c r="G765" s="610"/>
      <c r="H765" s="614"/>
      <c r="I765" s="504"/>
      <c r="J765" s="681"/>
      <c r="K765" s="494">
        <f>SUM(J761:J764)</f>
        <v>17321</v>
      </c>
      <c r="L765" s="493"/>
      <c r="M765" s="494"/>
      <c r="N765" s="491">
        <f t="shared" si="50"/>
        <v>0</v>
      </c>
      <c r="Q765" s="595"/>
      <c r="R765" s="484"/>
      <c r="S765" s="595"/>
      <c r="T765" s="595"/>
      <c r="U765" s="595"/>
    </row>
    <row r="766" spans="2:21" ht="14.1" customHeight="1">
      <c r="B766" s="951"/>
      <c r="C766" s="598" t="s">
        <v>215</v>
      </c>
      <c r="D766" s="603" t="s">
        <v>212</v>
      </c>
      <c r="E766" s="615"/>
      <c r="F766" s="615"/>
      <c r="G766" s="605"/>
      <c r="H766" s="616"/>
      <c r="I766" s="617"/>
      <c r="J766" s="491"/>
      <c r="K766" s="492"/>
      <c r="L766" s="493"/>
      <c r="M766" s="494"/>
      <c r="N766" s="491">
        <f t="shared" si="50"/>
        <v>0</v>
      </c>
      <c r="Q766" s="595"/>
      <c r="R766" s="484"/>
      <c r="S766" s="595"/>
      <c r="T766" s="595"/>
      <c r="U766" s="595"/>
    </row>
    <row r="767" spans="2:21" ht="14.1" customHeight="1">
      <c r="B767" s="951"/>
      <c r="C767" s="602"/>
      <c r="D767" s="602"/>
      <c r="E767" s="612"/>
      <c r="F767" s="613"/>
      <c r="G767" s="610"/>
      <c r="H767" s="614"/>
      <c r="I767" s="618"/>
      <c r="J767" s="495"/>
      <c r="K767" s="494">
        <f>SUM(J766:J766)</f>
        <v>0</v>
      </c>
      <c r="L767" s="493"/>
      <c r="M767" s="494"/>
      <c r="N767" s="491">
        <f t="shared" si="50"/>
        <v>0</v>
      </c>
      <c r="Q767" s="595"/>
      <c r="R767" s="484"/>
      <c r="S767" s="595"/>
      <c r="T767" s="595"/>
      <c r="U767" s="595"/>
    </row>
    <row r="768" spans="2:21" ht="14.1" customHeight="1">
      <c r="B768" s="951"/>
      <c r="C768" s="600" t="s">
        <v>216</v>
      </c>
      <c r="D768" s="619" t="s">
        <v>219</v>
      </c>
      <c r="E768" s="613"/>
      <c r="F768" s="613"/>
      <c r="G768" s="610"/>
      <c r="H768" s="614"/>
      <c r="I768" s="618"/>
      <c r="J768" s="497" t="s">
        <v>220</v>
      </c>
      <c r="K768" s="494">
        <f>K760+K765+K767</f>
        <v>830696</v>
      </c>
      <c r="L768" s="620">
        <f>N768/K768</f>
        <v>0.46233327234030269</v>
      </c>
      <c r="M768" s="497"/>
      <c r="N768" s="498">
        <f>SUM(N755:N767)</f>
        <v>384058.40000000008</v>
      </c>
      <c r="Q768" s="595"/>
      <c r="R768" s="484"/>
      <c r="S768" s="595"/>
      <c r="T768" s="595"/>
      <c r="U768" s="595"/>
    </row>
    <row r="769" spans="2:21" ht="14.1" customHeight="1">
      <c r="B769" s="951"/>
      <c r="C769" s="600" t="s">
        <v>217</v>
      </c>
      <c r="D769" s="619" t="s">
        <v>221</v>
      </c>
      <c r="E769" s="613"/>
      <c r="F769" s="499">
        <f>$F$48</f>
        <v>0.1</v>
      </c>
      <c r="G769" s="605" t="s">
        <v>168</v>
      </c>
      <c r="H769" s="499">
        <f>$H$48</f>
        <v>0.02</v>
      </c>
      <c r="I769" s="621" t="s">
        <v>167</v>
      </c>
      <c r="J769" s="494" t="s">
        <v>216</v>
      </c>
      <c r="K769" s="500">
        <f>ROUND((K768*(F769+H769)),2)</f>
        <v>99683.520000000004</v>
      </c>
      <c r="L769" s="494"/>
      <c r="M769" s="494"/>
      <c r="N769" s="494"/>
      <c r="Q769" s="595"/>
      <c r="R769" s="484"/>
      <c r="S769" s="595"/>
      <c r="T769" s="595"/>
      <c r="U769" s="595"/>
    </row>
    <row r="770" spans="2:21" ht="14.1" customHeight="1">
      <c r="B770" s="951"/>
      <c r="C770" s="622" t="s">
        <v>222</v>
      </c>
      <c r="D770" s="623" t="s">
        <v>76</v>
      </c>
      <c r="E770" s="624"/>
      <c r="F770" s="624"/>
      <c r="G770" s="624"/>
      <c r="H770" s="625"/>
      <c r="I770" s="624"/>
      <c r="J770" s="626" t="s">
        <v>226</v>
      </c>
      <c r="K770" s="627">
        <f>SUM(K768:K769)</f>
        <v>930379.52</v>
      </c>
      <c r="L770" s="620"/>
      <c r="M770" s="626"/>
      <c r="N770" s="635"/>
      <c r="Q770" s="595"/>
      <c r="R770" s="484"/>
      <c r="S770" s="595"/>
      <c r="T770" s="595"/>
      <c r="U770" s="595"/>
    </row>
    <row r="771" spans="2:21">
      <c r="Q771" s="595"/>
      <c r="R771" s="484"/>
      <c r="S771" s="595"/>
      <c r="T771" s="595"/>
      <c r="U771" s="595"/>
    </row>
    <row r="772" spans="2:21" s="505" customFormat="1" ht="14.1" customHeight="1">
      <c r="B772" s="951">
        <f>B750+1</f>
        <v>40</v>
      </c>
      <c r="C772" s="488"/>
      <c r="D772" s="485" t="s">
        <v>647</v>
      </c>
      <c r="E772" s="485"/>
      <c r="F772" s="485"/>
      <c r="G772" s="485"/>
      <c r="H772" s="488"/>
      <c r="I772" s="485"/>
      <c r="J772" s="485"/>
      <c r="K772" s="591" t="s">
        <v>239</v>
      </c>
      <c r="L772" s="591"/>
      <c r="M772" s="591"/>
      <c r="N772" s="591"/>
      <c r="O772" s="631" t="str">
        <f>D773</f>
        <v>m2</v>
      </c>
      <c r="P772" s="595">
        <f>K792</f>
        <v>1088460.52</v>
      </c>
      <c r="Q772" s="593">
        <f>L790</f>
        <v>0.46893979397632174</v>
      </c>
      <c r="R772" s="484">
        <f>N790</f>
        <v>455734.33214300004</v>
      </c>
      <c r="S772" s="594"/>
      <c r="T772" s="484"/>
      <c r="U772" s="593"/>
    </row>
    <row r="773" spans="2:21" s="505" customFormat="1" ht="14.1" customHeight="1">
      <c r="B773" s="951"/>
      <c r="C773" s="488"/>
      <c r="D773" s="485" t="s">
        <v>100</v>
      </c>
      <c r="E773" s="485"/>
      <c r="F773" s="485"/>
      <c r="G773" s="485"/>
      <c r="H773" s="488"/>
      <c r="I773" s="485"/>
      <c r="J773" s="485"/>
      <c r="K773" s="485"/>
      <c r="L773" s="485"/>
      <c r="M773" s="485"/>
      <c r="N773" s="485"/>
      <c r="O773" s="631"/>
      <c r="Q773" s="595"/>
      <c r="R773" s="484"/>
      <c r="S773" s="595"/>
      <c r="T773" s="595"/>
      <c r="U773" s="595"/>
    </row>
    <row r="774" spans="2:21" s="505" customFormat="1" ht="14.1" customHeight="1">
      <c r="B774" s="951"/>
      <c r="C774" s="596"/>
      <c r="D774" s="977" t="s">
        <v>55</v>
      </c>
      <c r="E774" s="978"/>
      <c r="F774" s="597"/>
      <c r="G774" s="981" t="s">
        <v>56</v>
      </c>
      <c r="H774" s="981" t="s">
        <v>57</v>
      </c>
      <c r="I774" s="596" t="s">
        <v>58</v>
      </c>
      <c r="J774" s="596" t="s">
        <v>59</v>
      </c>
      <c r="K774" s="596" t="s">
        <v>102</v>
      </c>
      <c r="L774" s="596" t="s">
        <v>418</v>
      </c>
      <c r="M774" s="596" t="s">
        <v>419</v>
      </c>
      <c r="N774" s="596" t="s">
        <v>59</v>
      </c>
      <c r="O774" s="631"/>
      <c r="Q774" s="595"/>
      <c r="R774" s="484"/>
      <c r="S774" s="595"/>
      <c r="T774" s="595"/>
      <c r="U774" s="595"/>
    </row>
    <row r="775" spans="2:21" s="505" customFormat="1" ht="14.1" customHeight="1">
      <c r="B775" s="951"/>
      <c r="C775" s="598" t="s">
        <v>227</v>
      </c>
      <c r="D775" s="979"/>
      <c r="E775" s="980"/>
      <c r="F775" s="599"/>
      <c r="G775" s="982"/>
      <c r="H775" s="982"/>
      <c r="I775" s="598" t="s">
        <v>60</v>
      </c>
      <c r="J775" s="598" t="s">
        <v>61</v>
      </c>
      <c r="K775" s="598" t="s">
        <v>61</v>
      </c>
      <c r="L775" s="598" t="s">
        <v>421</v>
      </c>
      <c r="M775" s="598"/>
      <c r="N775" s="598" t="s">
        <v>423</v>
      </c>
      <c r="O775" s="631"/>
      <c r="Q775" s="595"/>
      <c r="R775" s="484"/>
      <c r="S775" s="595"/>
      <c r="T775" s="595"/>
      <c r="U775" s="595"/>
    </row>
    <row r="776" spans="2:21" s="505" customFormat="1" ht="14.1" customHeight="1">
      <c r="B776" s="951"/>
      <c r="C776" s="600"/>
      <c r="D776" s="969"/>
      <c r="E776" s="970"/>
      <c r="F776" s="601"/>
      <c r="G776" s="973"/>
      <c r="H776" s="973"/>
      <c r="I776" s="600" t="s">
        <v>61</v>
      </c>
      <c r="J776" s="602"/>
      <c r="K776" s="602"/>
      <c r="L776" s="602"/>
      <c r="M776" s="602"/>
      <c r="N776" s="600" t="s">
        <v>61</v>
      </c>
      <c r="O776" s="631"/>
      <c r="Q776" s="595"/>
      <c r="R776" s="484"/>
      <c r="S776" s="595"/>
      <c r="T776" s="595"/>
      <c r="U776" s="595"/>
    </row>
    <row r="777" spans="2:21" s="505" customFormat="1" ht="14.1" customHeight="1">
      <c r="B777" s="951"/>
      <c r="C777" s="596" t="s">
        <v>213</v>
      </c>
      <c r="D777" s="607" t="s">
        <v>62</v>
      </c>
      <c r="E777" s="637" t="s">
        <v>204</v>
      </c>
      <c r="F777" s="637"/>
      <c r="G777" s="605" t="s">
        <v>83</v>
      </c>
      <c r="H777" s="616">
        <v>4.4000000000000004</v>
      </c>
      <c r="I777" s="500">
        <f>'UPH-TNG'!$I$125</f>
        <v>120000</v>
      </c>
      <c r="J777" s="491">
        <f>ROUND(H777*I777,2)</f>
        <v>528000</v>
      </c>
      <c r="K777" s="603"/>
      <c r="L777" s="501">
        <f>$L$735</f>
        <v>0.50570000000000004</v>
      </c>
      <c r="M777" s="494" t="s">
        <v>429</v>
      </c>
      <c r="N777" s="491">
        <f t="shared" ref="N777:N789" si="54">L777*J777</f>
        <v>267009.60000000003</v>
      </c>
      <c r="O777" s="631"/>
      <c r="Q777" s="595"/>
      <c r="R777" s="484"/>
      <c r="S777" s="595"/>
      <c r="T777" s="595"/>
      <c r="U777" s="595"/>
    </row>
    <row r="778" spans="2:21" s="505" customFormat="1" ht="14.1" customHeight="1">
      <c r="B778" s="951"/>
      <c r="C778" s="670"/>
      <c r="D778" s="666"/>
      <c r="E778" s="679" t="s">
        <v>633</v>
      </c>
      <c r="F778" s="679"/>
      <c r="G778" s="673" t="s">
        <v>634</v>
      </c>
      <c r="H778" s="680">
        <v>0.76388888888888895</v>
      </c>
      <c r="I778" s="518">
        <f>'UPH-TNG'!I37</f>
        <v>350000</v>
      </c>
      <c r="J778" s="491">
        <f>ROUND(H778*I778,2)</f>
        <v>267361.11</v>
      </c>
      <c r="K778" s="666"/>
      <c r="L778" s="501">
        <v>0.57130000000000003</v>
      </c>
      <c r="M778" s="494" t="s">
        <v>429</v>
      </c>
      <c r="N778" s="491">
        <f t="shared" si="54"/>
        <v>152743.40214300001</v>
      </c>
      <c r="O778" s="631"/>
      <c r="P778" s="505">
        <f>1.2*2.4</f>
        <v>2.88</v>
      </c>
      <c r="Q778" s="595">
        <f>1*2</f>
        <v>2</v>
      </c>
      <c r="R778" s="510">
        <f>Q778/P778</f>
        <v>0.69444444444444442</v>
      </c>
      <c r="S778" s="595">
        <v>1.1000000000000001</v>
      </c>
      <c r="T778" s="595">
        <f>R778*S778</f>
        <v>0.76388888888888895</v>
      </c>
      <c r="U778" s="595"/>
    </row>
    <row r="779" spans="2:21" s="505" customFormat="1" ht="14.1" customHeight="1">
      <c r="B779" s="951"/>
      <c r="C779" s="607"/>
      <c r="D779" s="607"/>
      <c r="E779" s="637" t="s">
        <v>205</v>
      </c>
      <c r="F779" s="637"/>
      <c r="G779" s="605" t="s">
        <v>83</v>
      </c>
      <c r="H779" s="616">
        <v>4.5</v>
      </c>
      <c r="I779" s="500">
        <f>'UPH-TNG'!$I$124</f>
        <v>8200</v>
      </c>
      <c r="J779" s="491">
        <f>ROUND(H779*I779,2)</f>
        <v>36900</v>
      </c>
      <c r="K779" s="607"/>
      <c r="L779" s="501">
        <f>$L$735</f>
        <v>0.50570000000000004</v>
      </c>
      <c r="M779" s="494" t="s">
        <v>429</v>
      </c>
      <c r="N779" s="491">
        <f t="shared" si="54"/>
        <v>18660.330000000002</v>
      </c>
      <c r="O779" s="631"/>
      <c r="Q779" s="595"/>
      <c r="R779" s="484"/>
      <c r="S779" s="595"/>
      <c r="T779" s="595"/>
      <c r="U779" s="595"/>
    </row>
    <row r="780" spans="2:21" s="505" customFormat="1" ht="14.1" customHeight="1">
      <c r="B780" s="951"/>
      <c r="C780" s="607"/>
      <c r="D780" s="607"/>
      <c r="E780" s="637" t="s">
        <v>35</v>
      </c>
      <c r="F780" s="637"/>
      <c r="G780" s="605" t="s">
        <v>38</v>
      </c>
      <c r="H780" s="616">
        <v>0.27</v>
      </c>
      <c r="I780" s="500">
        <f>'UPH-TNG'!$I$131</f>
        <v>60000</v>
      </c>
      <c r="J780" s="491">
        <f>ROUND(H780*I780,2)</f>
        <v>16200</v>
      </c>
      <c r="K780" s="607"/>
      <c r="L780" s="501">
        <v>0</v>
      </c>
      <c r="M780" s="494"/>
      <c r="N780" s="491">
        <f t="shared" si="54"/>
        <v>0</v>
      </c>
      <c r="O780" s="631"/>
      <c r="Q780" s="595">
        <f>0.7*2</f>
        <v>1.4</v>
      </c>
      <c r="R780" s="510">
        <f>Q780*R778</f>
        <v>0.9722222222222221</v>
      </c>
      <c r="S780" s="595"/>
      <c r="T780" s="595"/>
      <c r="U780" s="595"/>
    </row>
    <row r="781" spans="2:21" s="505" customFormat="1" ht="14.1" customHeight="1">
      <c r="B781" s="951"/>
      <c r="C781" s="666"/>
      <c r="D781" s="666"/>
      <c r="E781" s="676" t="s">
        <v>519</v>
      </c>
      <c r="F781" s="637"/>
      <c r="G781" s="605" t="s">
        <v>49</v>
      </c>
      <c r="H781" s="616">
        <v>1</v>
      </c>
      <c r="I781" s="632">
        <f>+(SUM(J777:J780)*12.5%)</f>
        <v>106057.63875</v>
      </c>
      <c r="J781" s="491">
        <f>ROUND(H781*I781,2)</f>
        <v>106057.64</v>
      </c>
      <c r="K781" s="607"/>
      <c r="L781" s="501">
        <v>0</v>
      </c>
      <c r="M781" s="494"/>
      <c r="N781" s="491">
        <f t="shared" si="54"/>
        <v>0</v>
      </c>
      <c r="O781" s="631"/>
      <c r="Q781" s="595"/>
      <c r="R781" s="484"/>
      <c r="S781" s="595"/>
      <c r="T781" s="595"/>
      <c r="U781" s="595"/>
    </row>
    <row r="782" spans="2:21" s="505" customFormat="1" ht="14.1" customHeight="1">
      <c r="B782" s="951"/>
      <c r="C782" s="600"/>
      <c r="D782" s="607"/>
      <c r="E782" s="642"/>
      <c r="F782" s="643"/>
      <c r="G782" s="610"/>
      <c r="H782" s="614"/>
      <c r="I782" s="519"/>
      <c r="J782" s="495"/>
      <c r="K782" s="491">
        <f>SUM(J777:J781)</f>
        <v>954518.75</v>
      </c>
      <c r="L782" s="493"/>
      <c r="M782" s="494"/>
      <c r="N782" s="491">
        <f t="shared" si="54"/>
        <v>0</v>
      </c>
      <c r="O782" s="631"/>
      <c r="Q782" s="595"/>
      <c r="R782" s="484"/>
      <c r="S782" s="595"/>
      <c r="T782" s="595"/>
      <c r="U782" s="595"/>
    </row>
    <row r="783" spans="2:21" s="505" customFormat="1" ht="14.1" customHeight="1">
      <c r="B783" s="951"/>
      <c r="C783" s="596" t="s">
        <v>214</v>
      </c>
      <c r="D783" s="603" t="s">
        <v>63</v>
      </c>
      <c r="E783" s="615" t="s">
        <v>69</v>
      </c>
      <c r="F783" s="615"/>
      <c r="G783" s="605" t="s">
        <v>66</v>
      </c>
      <c r="H783" s="616">
        <v>8.5000000000000006E-2</v>
      </c>
      <c r="I783" s="500">
        <f>'UPH-TNG'!$I$15</f>
        <v>92000</v>
      </c>
      <c r="J783" s="491">
        <f>ROUND(H783*I783,2)</f>
        <v>7820</v>
      </c>
      <c r="K783" s="603"/>
      <c r="L783" s="493">
        <v>1</v>
      </c>
      <c r="M783" s="493" t="s">
        <v>422</v>
      </c>
      <c r="N783" s="491">
        <f t="shared" si="54"/>
        <v>7820</v>
      </c>
      <c r="O783" s="631"/>
      <c r="Q783" s="595"/>
      <c r="R783" s="484"/>
      <c r="S783" s="595"/>
      <c r="T783" s="595"/>
      <c r="U783" s="595"/>
    </row>
    <row r="784" spans="2:21" s="505" customFormat="1" ht="14.1" customHeight="1">
      <c r="B784" s="951"/>
      <c r="C784" s="607"/>
      <c r="D784" s="607"/>
      <c r="E784" s="615" t="s">
        <v>149</v>
      </c>
      <c r="F784" s="615"/>
      <c r="G784" s="605" t="s">
        <v>66</v>
      </c>
      <c r="H784" s="616">
        <v>8.5000000000000006E-2</v>
      </c>
      <c r="I784" s="500">
        <f>'UPH-TNG'!$I$22</f>
        <v>95000</v>
      </c>
      <c r="J784" s="491">
        <f>ROUND(H784*I784,2)</f>
        <v>8075</v>
      </c>
      <c r="K784" s="496"/>
      <c r="L784" s="493">
        <v>1</v>
      </c>
      <c r="M784" s="493" t="s">
        <v>422</v>
      </c>
      <c r="N784" s="491">
        <f t="shared" si="54"/>
        <v>8075</v>
      </c>
      <c r="O784" s="631"/>
      <c r="Q784" s="595"/>
      <c r="R784" s="484"/>
      <c r="S784" s="595"/>
      <c r="T784" s="595"/>
      <c r="U784" s="595"/>
    </row>
    <row r="785" spans="2:21" s="505" customFormat="1" ht="14.1" customHeight="1">
      <c r="B785" s="951"/>
      <c r="C785" s="607"/>
      <c r="D785" s="607"/>
      <c r="E785" s="615" t="s">
        <v>71</v>
      </c>
      <c r="F785" s="615"/>
      <c r="G785" s="605" t="s">
        <v>66</v>
      </c>
      <c r="H785" s="616">
        <v>8.9999999999999993E-3</v>
      </c>
      <c r="I785" s="520">
        <f>'UPH-TNG'!$I$17</f>
        <v>104000</v>
      </c>
      <c r="J785" s="491">
        <f>ROUND(H785*I785,2)</f>
        <v>936</v>
      </c>
      <c r="K785" s="496"/>
      <c r="L785" s="493">
        <v>1</v>
      </c>
      <c r="M785" s="493" t="s">
        <v>422</v>
      </c>
      <c r="N785" s="491">
        <f t="shared" si="54"/>
        <v>936</v>
      </c>
      <c r="O785" s="631"/>
      <c r="Q785" s="595"/>
      <c r="R785" s="484"/>
      <c r="S785" s="595"/>
      <c r="T785" s="595"/>
      <c r="U785" s="595"/>
    </row>
    <row r="786" spans="2:21" ht="14.1" customHeight="1">
      <c r="B786" s="951"/>
      <c r="C786" s="607"/>
      <c r="D786" s="607"/>
      <c r="E786" s="615" t="s">
        <v>65</v>
      </c>
      <c r="F786" s="615"/>
      <c r="G786" s="605" t="s">
        <v>66</v>
      </c>
      <c r="H786" s="616">
        <v>5.0000000000000001E-3</v>
      </c>
      <c r="I786" s="500">
        <f>'UPH-TNG'!$I$20</f>
        <v>98000</v>
      </c>
      <c r="J786" s="491">
        <f>ROUND(H786*I786,2)</f>
        <v>490</v>
      </c>
      <c r="K786" s="496"/>
      <c r="L786" s="493">
        <v>1</v>
      </c>
      <c r="M786" s="493" t="s">
        <v>422</v>
      </c>
      <c r="N786" s="491">
        <f t="shared" si="54"/>
        <v>490</v>
      </c>
      <c r="Q786" s="595"/>
      <c r="R786" s="484"/>
      <c r="S786" s="595"/>
      <c r="T786" s="595"/>
      <c r="U786" s="595"/>
    </row>
    <row r="787" spans="2:21" ht="14.1" customHeight="1">
      <c r="B787" s="951"/>
      <c r="C787" s="600"/>
      <c r="D787" s="602"/>
      <c r="E787" s="612"/>
      <c r="F787" s="613"/>
      <c r="G787" s="610"/>
      <c r="H787" s="614"/>
      <c r="I787" s="504"/>
      <c r="J787" s="681"/>
      <c r="K787" s="494">
        <f>SUM(J783:J786)</f>
        <v>17321</v>
      </c>
      <c r="L787" s="493"/>
      <c r="M787" s="494"/>
      <c r="N787" s="491">
        <f t="shared" si="54"/>
        <v>0</v>
      </c>
      <c r="Q787" s="595"/>
      <c r="R787" s="484"/>
      <c r="S787" s="595"/>
      <c r="T787" s="595"/>
      <c r="U787" s="595"/>
    </row>
    <row r="788" spans="2:21" ht="14.1" customHeight="1">
      <c r="B788" s="951"/>
      <c r="C788" s="598" t="s">
        <v>215</v>
      </c>
      <c r="D788" s="603" t="s">
        <v>212</v>
      </c>
      <c r="E788" s="615"/>
      <c r="F788" s="615"/>
      <c r="G788" s="605"/>
      <c r="H788" s="616"/>
      <c r="I788" s="617"/>
      <c r="J788" s="491"/>
      <c r="K788" s="492"/>
      <c r="L788" s="493"/>
      <c r="M788" s="494"/>
      <c r="N788" s="491">
        <f t="shared" si="54"/>
        <v>0</v>
      </c>
      <c r="Q788" s="595"/>
      <c r="R788" s="484"/>
      <c r="S788" s="595"/>
      <c r="T788" s="595"/>
      <c r="U788" s="595"/>
    </row>
    <row r="789" spans="2:21" ht="14.1" customHeight="1">
      <c r="B789" s="951"/>
      <c r="C789" s="602"/>
      <c r="D789" s="602"/>
      <c r="E789" s="612"/>
      <c r="F789" s="613"/>
      <c r="G789" s="610"/>
      <c r="H789" s="614"/>
      <c r="I789" s="618"/>
      <c r="J789" s="495"/>
      <c r="K789" s="494">
        <f>SUM(J788:J788)</f>
        <v>0</v>
      </c>
      <c r="L789" s="493"/>
      <c r="M789" s="494"/>
      <c r="N789" s="491">
        <f t="shared" si="54"/>
        <v>0</v>
      </c>
      <c r="Q789" s="595"/>
      <c r="R789" s="484"/>
      <c r="S789" s="595"/>
      <c r="T789" s="595"/>
      <c r="U789" s="595"/>
    </row>
    <row r="790" spans="2:21" ht="14.1" customHeight="1">
      <c r="B790" s="951"/>
      <c r="C790" s="600" t="s">
        <v>216</v>
      </c>
      <c r="D790" s="619" t="s">
        <v>219</v>
      </c>
      <c r="E790" s="613"/>
      <c r="F790" s="613"/>
      <c r="G790" s="610"/>
      <c r="H790" s="614"/>
      <c r="I790" s="618"/>
      <c r="J790" s="497" t="s">
        <v>220</v>
      </c>
      <c r="K790" s="494">
        <f>K782+K787+K789</f>
        <v>971839.75</v>
      </c>
      <c r="L790" s="620">
        <f>N790/K790</f>
        <v>0.46893979397632174</v>
      </c>
      <c r="M790" s="497"/>
      <c r="N790" s="498">
        <f>SUM(N777:N789)</f>
        <v>455734.33214300004</v>
      </c>
      <c r="Q790" s="595"/>
      <c r="R790" s="484"/>
      <c r="S790" s="595"/>
      <c r="T790" s="595"/>
      <c r="U790" s="595"/>
    </row>
    <row r="791" spans="2:21" ht="14.1" customHeight="1">
      <c r="B791" s="951"/>
      <c r="C791" s="600" t="s">
        <v>217</v>
      </c>
      <c r="D791" s="619" t="s">
        <v>221</v>
      </c>
      <c r="E791" s="613"/>
      <c r="F791" s="499">
        <f>$F$48</f>
        <v>0.1</v>
      </c>
      <c r="G791" s="605" t="s">
        <v>168</v>
      </c>
      <c r="H791" s="499">
        <f>$H$48</f>
        <v>0.02</v>
      </c>
      <c r="I791" s="621" t="s">
        <v>167</v>
      </c>
      <c r="J791" s="494" t="s">
        <v>216</v>
      </c>
      <c r="K791" s="500">
        <f>ROUND((K790*(F791+H791)),2)</f>
        <v>116620.77</v>
      </c>
      <c r="L791" s="494"/>
      <c r="M791" s="494"/>
      <c r="N791" s="494"/>
      <c r="Q791" s="595"/>
      <c r="R791" s="484"/>
      <c r="S791" s="595"/>
      <c r="T791" s="595"/>
      <c r="U791" s="595"/>
    </row>
    <row r="792" spans="2:21" ht="14.1" customHeight="1">
      <c r="B792" s="951"/>
      <c r="C792" s="622" t="s">
        <v>222</v>
      </c>
      <c r="D792" s="623" t="s">
        <v>76</v>
      </c>
      <c r="E792" s="624"/>
      <c r="F792" s="624"/>
      <c r="G792" s="624"/>
      <c r="H792" s="625"/>
      <c r="I792" s="624"/>
      <c r="J792" s="626" t="s">
        <v>226</v>
      </c>
      <c r="K792" s="627">
        <f>SUM(K790:K791)</f>
        <v>1088460.52</v>
      </c>
      <c r="L792" s="620"/>
      <c r="M792" s="626"/>
      <c r="N792" s="635"/>
      <c r="Q792" s="595"/>
      <c r="R792" s="484"/>
      <c r="S792" s="595"/>
      <c r="T792" s="595"/>
      <c r="U792" s="595"/>
    </row>
    <row r="793" spans="2:21">
      <c r="Q793" s="595"/>
      <c r="R793" s="484"/>
      <c r="S793" s="595"/>
      <c r="T793" s="595"/>
      <c r="U793" s="595"/>
    </row>
    <row r="794" spans="2:21" s="505" customFormat="1" ht="14.1" hidden="1" customHeight="1">
      <c r="B794" s="951">
        <f>B772+1</f>
        <v>41</v>
      </c>
      <c r="C794" s="488"/>
      <c r="D794" s="485" t="s">
        <v>635</v>
      </c>
      <c r="E794" s="485"/>
      <c r="F794" s="485"/>
      <c r="G794" s="485"/>
      <c r="H794" s="488"/>
      <c r="I794" s="485"/>
      <c r="J794" s="485"/>
      <c r="K794" s="591" t="s">
        <v>239</v>
      </c>
      <c r="L794" s="591"/>
      <c r="M794" s="591"/>
      <c r="N794" s="591"/>
      <c r="O794" s="631" t="str">
        <f>D795</f>
        <v>m2</v>
      </c>
      <c r="P794" s="595">
        <f>K813</f>
        <v>990393.6</v>
      </c>
      <c r="Q794" s="593">
        <f>L811</f>
        <v>0.29321029538155335</v>
      </c>
      <c r="R794" s="484">
        <f>N811</f>
        <v>259280</v>
      </c>
      <c r="S794" s="594"/>
      <c r="T794" s="484"/>
      <c r="U794" s="593"/>
    </row>
    <row r="795" spans="2:21" s="505" customFormat="1" ht="14.1" hidden="1" customHeight="1">
      <c r="B795" s="951"/>
      <c r="C795" s="488"/>
      <c r="D795" s="485" t="s">
        <v>100</v>
      </c>
      <c r="E795" s="485"/>
      <c r="F795" s="485"/>
      <c r="G795" s="485"/>
      <c r="H795" s="488"/>
      <c r="I795" s="485"/>
      <c r="J795" s="485"/>
      <c r="K795" s="485"/>
      <c r="L795" s="485"/>
      <c r="M795" s="485"/>
      <c r="N795" s="485"/>
      <c r="O795" s="631"/>
      <c r="Q795" s="595"/>
      <c r="R795" s="484"/>
      <c r="S795" s="595"/>
      <c r="T795" s="595"/>
      <c r="U795" s="595"/>
    </row>
    <row r="796" spans="2:21" s="505" customFormat="1" ht="14.1" hidden="1" customHeight="1">
      <c r="B796" s="951"/>
      <c r="C796" s="596"/>
      <c r="D796" s="977" t="s">
        <v>55</v>
      </c>
      <c r="E796" s="978"/>
      <c r="F796" s="597"/>
      <c r="G796" s="981" t="s">
        <v>56</v>
      </c>
      <c r="H796" s="981" t="s">
        <v>57</v>
      </c>
      <c r="I796" s="596" t="s">
        <v>58</v>
      </c>
      <c r="J796" s="596" t="s">
        <v>59</v>
      </c>
      <c r="K796" s="596" t="s">
        <v>102</v>
      </c>
      <c r="L796" s="596" t="s">
        <v>418</v>
      </c>
      <c r="M796" s="596" t="s">
        <v>419</v>
      </c>
      <c r="N796" s="596" t="s">
        <v>59</v>
      </c>
      <c r="O796" s="631"/>
      <c r="Q796" s="595"/>
      <c r="R796" s="484"/>
      <c r="S796" s="595"/>
      <c r="T796" s="595"/>
      <c r="U796" s="595"/>
    </row>
    <row r="797" spans="2:21" s="505" customFormat="1" ht="14.1" hidden="1" customHeight="1">
      <c r="B797" s="951"/>
      <c r="C797" s="598" t="s">
        <v>227</v>
      </c>
      <c r="D797" s="979"/>
      <c r="E797" s="980"/>
      <c r="F797" s="599"/>
      <c r="G797" s="982"/>
      <c r="H797" s="982"/>
      <c r="I797" s="598" t="s">
        <v>60</v>
      </c>
      <c r="J797" s="598" t="s">
        <v>61</v>
      </c>
      <c r="K797" s="598" t="s">
        <v>61</v>
      </c>
      <c r="L797" s="598" t="s">
        <v>421</v>
      </c>
      <c r="M797" s="598"/>
      <c r="N797" s="598" t="s">
        <v>423</v>
      </c>
      <c r="O797" s="631"/>
      <c r="Q797" s="595"/>
      <c r="R797" s="484"/>
      <c r="S797" s="595"/>
      <c r="T797" s="595"/>
      <c r="U797" s="595"/>
    </row>
    <row r="798" spans="2:21" s="505" customFormat="1" ht="14.1" hidden="1" customHeight="1">
      <c r="B798" s="951"/>
      <c r="C798" s="600"/>
      <c r="D798" s="969"/>
      <c r="E798" s="970"/>
      <c r="F798" s="601"/>
      <c r="G798" s="973"/>
      <c r="H798" s="973"/>
      <c r="I798" s="600" t="s">
        <v>61</v>
      </c>
      <c r="J798" s="602"/>
      <c r="K798" s="602"/>
      <c r="L798" s="602"/>
      <c r="M798" s="602"/>
      <c r="N798" s="600" t="s">
        <v>61</v>
      </c>
      <c r="O798" s="631"/>
      <c r="Q798" s="595"/>
      <c r="R798" s="484"/>
      <c r="S798" s="595"/>
      <c r="T798" s="595"/>
      <c r="U798" s="595"/>
    </row>
    <row r="799" spans="2:21" s="505" customFormat="1" ht="14.1" hidden="1" customHeight="1">
      <c r="B799" s="951"/>
      <c r="C799" s="596" t="s">
        <v>213</v>
      </c>
      <c r="D799" s="607" t="s">
        <v>62</v>
      </c>
      <c r="E799" s="637" t="s">
        <v>636</v>
      </c>
      <c r="F799" s="637"/>
      <c r="G799" s="605" t="s">
        <v>634</v>
      </c>
      <c r="H799" s="616">
        <v>1.0416666666666665</v>
      </c>
      <c r="I799" s="500">
        <f>'UPH-TNG'!I99</f>
        <v>110000</v>
      </c>
      <c r="J799" s="491">
        <f>ROUND(H799*I799,2)</f>
        <v>114583.33</v>
      </c>
      <c r="K799" s="603"/>
      <c r="L799" s="501"/>
      <c r="M799" s="494" t="s">
        <v>429</v>
      </c>
      <c r="N799" s="491">
        <f t="shared" ref="N799:N810" si="55">L799*J799</f>
        <v>0</v>
      </c>
      <c r="O799" s="631"/>
      <c r="P799" s="505">
        <f>1.2*2.4</f>
        <v>2.88</v>
      </c>
      <c r="Q799" s="595">
        <f>1*1*2</f>
        <v>2</v>
      </c>
      <c r="R799" s="510">
        <f>Q799/P799</f>
        <v>0.69444444444444442</v>
      </c>
      <c r="S799" s="595">
        <v>1.8</v>
      </c>
      <c r="T799" s="595">
        <f>R799*S799</f>
        <v>1.25</v>
      </c>
      <c r="U799" s="595"/>
    </row>
    <row r="800" spans="2:21" s="505" customFormat="1" ht="14.1" hidden="1" customHeight="1">
      <c r="B800" s="951"/>
      <c r="C800" s="670"/>
      <c r="D800" s="666"/>
      <c r="E800" s="637" t="s">
        <v>637</v>
      </c>
      <c r="F800" s="679"/>
      <c r="G800" s="673" t="s">
        <v>634</v>
      </c>
      <c r="H800" s="680">
        <f>T800</f>
        <v>0.625</v>
      </c>
      <c r="I800" s="500">
        <f>'UPH-TNG'!I100</f>
        <v>250000</v>
      </c>
      <c r="J800" s="491">
        <f>ROUND(H800*I800,2)</f>
        <v>156250</v>
      </c>
      <c r="K800" s="666"/>
      <c r="L800" s="501"/>
      <c r="M800" s="494" t="s">
        <v>429</v>
      </c>
      <c r="N800" s="491">
        <f t="shared" si="55"/>
        <v>0</v>
      </c>
      <c r="O800" s="631"/>
      <c r="P800" s="505">
        <f>1.2*2.4</f>
        <v>2.88</v>
      </c>
      <c r="Q800" s="595">
        <v>1</v>
      </c>
      <c r="R800" s="510">
        <f>Q800/P800</f>
        <v>0.34722222222222221</v>
      </c>
      <c r="S800" s="595">
        <f>S799</f>
        <v>1.8</v>
      </c>
      <c r="T800" s="595">
        <f>R800*S800</f>
        <v>0.625</v>
      </c>
      <c r="U800" s="595"/>
    </row>
    <row r="801" spans="2:21" s="505" customFormat="1" ht="14.1" hidden="1" customHeight="1">
      <c r="B801" s="951"/>
      <c r="C801" s="670"/>
      <c r="D801" s="666"/>
      <c r="E801" s="637" t="s">
        <v>638</v>
      </c>
      <c r="F801" s="679"/>
      <c r="G801" s="673" t="s">
        <v>634</v>
      </c>
      <c r="H801" s="680">
        <v>1.0416666666666665</v>
      </c>
      <c r="I801" s="518">
        <f>'UPH-TNG'!I65</f>
        <v>220000</v>
      </c>
      <c r="J801" s="491">
        <f>ROUND(H801*I801,2)</f>
        <v>229166.67</v>
      </c>
      <c r="K801" s="666"/>
      <c r="L801" s="501"/>
      <c r="M801" s="494" t="s">
        <v>429</v>
      </c>
      <c r="N801" s="491">
        <f t="shared" ref="N801" si="56">L801*J801</f>
        <v>0</v>
      </c>
      <c r="O801" s="631"/>
      <c r="Q801" s="595"/>
      <c r="R801" s="510"/>
      <c r="S801" s="595"/>
      <c r="T801" s="595"/>
      <c r="U801" s="595"/>
    </row>
    <row r="802" spans="2:21" s="505" customFormat="1" ht="14.1" hidden="1" customHeight="1">
      <c r="B802" s="951"/>
      <c r="C802" s="666"/>
      <c r="D802" s="666"/>
      <c r="E802" s="676" t="s">
        <v>519</v>
      </c>
      <c r="F802" s="637"/>
      <c r="G802" s="605" t="s">
        <v>49</v>
      </c>
      <c r="H802" s="616">
        <v>1</v>
      </c>
      <c r="I802" s="632">
        <f>+(SUM(J799:J801)*25%)</f>
        <v>125000</v>
      </c>
      <c r="J802" s="491">
        <f>ROUND(H802*I802,2)</f>
        <v>125000</v>
      </c>
      <c r="K802" s="607"/>
      <c r="L802" s="501">
        <v>0</v>
      </c>
      <c r="M802" s="494"/>
      <c r="N802" s="491">
        <f t="shared" si="55"/>
        <v>0</v>
      </c>
      <c r="O802" s="631"/>
      <c r="Q802" s="595"/>
      <c r="R802" s="484"/>
      <c r="S802" s="595"/>
      <c r="T802" s="595"/>
      <c r="U802" s="595"/>
    </row>
    <row r="803" spans="2:21" s="505" customFormat="1" ht="14.1" hidden="1" customHeight="1">
      <c r="B803" s="951"/>
      <c r="C803" s="600"/>
      <c r="D803" s="607"/>
      <c r="E803" s="642"/>
      <c r="F803" s="643"/>
      <c r="G803" s="610"/>
      <c r="H803" s="614"/>
      <c r="I803" s="519"/>
      <c r="J803" s="495"/>
      <c r="K803" s="491">
        <f>SUM(J799:J802)</f>
        <v>625000</v>
      </c>
      <c r="L803" s="493"/>
      <c r="M803" s="494"/>
      <c r="N803" s="491">
        <f t="shared" si="55"/>
        <v>0</v>
      </c>
      <c r="O803" s="631"/>
      <c r="Q803" s="595"/>
      <c r="R803" s="484"/>
      <c r="S803" s="595"/>
      <c r="T803" s="595"/>
      <c r="U803" s="595"/>
    </row>
    <row r="804" spans="2:21" s="505" customFormat="1" ht="14.1" hidden="1" customHeight="1">
      <c r="B804" s="951"/>
      <c r="C804" s="596" t="s">
        <v>214</v>
      </c>
      <c r="D804" s="603" t="s">
        <v>63</v>
      </c>
      <c r="E804" s="615" t="s">
        <v>69</v>
      </c>
      <c r="F804" s="615"/>
      <c r="G804" s="605" t="s">
        <v>66</v>
      </c>
      <c r="H804" s="616">
        <v>0.8</v>
      </c>
      <c r="I804" s="500">
        <f>'UPH-TNG'!$I$15</f>
        <v>92000</v>
      </c>
      <c r="J804" s="491">
        <f>ROUND(H804*I804,2)</f>
        <v>73600</v>
      </c>
      <c r="K804" s="603"/>
      <c r="L804" s="493">
        <v>1</v>
      </c>
      <c r="M804" s="493" t="s">
        <v>422</v>
      </c>
      <c r="N804" s="491">
        <f t="shared" si="55"/>
        <v>73600</v>
      </c>
      <c r="O804" s="631"/>
      <c r="Q804" s="595">
        <f>2.1*0.8</f>
        <v>1.6800000000000002</v>
      </c>
      <c r="R804" s="484">
        <f>Q804*K813</f>
        <v>1663861.2480000001</v>
      </c>
      <c r="S804" s="595"/>
      <c r="T804" s="595"/>
      <c r="U804" s="595"/>
    </row>
    <row r="805" spans="2:21" s="505" customFormat="1" ht="14.1" hidden="1" customHeight="1">
      <c r="B805" s="951"/>
      <c r="C805" s="607"/>
      <c r="D805" s="607"/>
      <c r="E805" s="615" t="s">
        <v>98</v>
      </c>
      <c r="F805" s="615"/>
      <c r="G805" s="605" t="s">
        <v>66</v>
      </c>
      <c r="H805" s="616">
        <v>1.6</v>
      </c>
      <c r="I805" s="500">
        <f>'UPH-TNG'!I24</f>
        <v>98000</v>
      </c>
      <c r="J805" s="491">
        <f>ROUND(H805*I805,2)</f>
        <v>156800</v>
      </c>
      <c r="K805" s="496"/>
      <c r="L805" s="493">
        <v>1</v>
      </c>
      <c r="M805" s="493" t="s">
        <v>422</v>
      </c>
      <c r="N805" s="491">
        <f t="shared" si="55"/>
        <v>156800</v>
      </c>
      <c r="O805" s="631"/>
      <c r="Q805" s="595">
        <v>0.8</v>
      </c>
      <c r="R805" s="484">
        <v>2.1</v>
      </c>
      <c r="S805" s="595">
        <f>Q805*R805</f>
        <v>1.6800000000000002</v>
      </c>
      <c r="T805" s="595"/>
      <c r="U805" s="595"/>
    </row>
    <row r="806" spans="2:21" s="505" customFormat="1" ht="14.1" hidden="1" customHeight="1">
      <c r="B806" s="951"/>
      <c r="C806" s="607"/>
      <c r="D806" s="607"/>
      <c r="E806" s="615" t="s">
        <v>71</v>
      </c>
      <c r="F806" s="615"/>
      <c r="G806" s="605" t="s">
        <v>66</v>
      </c>
      <c r="H806" s="616">
        <v>0.24</v>
      </c>
      <c r="I806" s="520">
        <f>'UPH-TNG'!$I$17</f>
        <v>104000</v>
      </c>
      <c r="J806" s="491">
        <f>ROUND(H806*I806,2)</f>
        <v>24960</v>
      </c>
      <c r="K806" s="496"/>
      <c r="L806" s="493">
        <v>1</v>
      </c>
      <c r="M806" s="493" t="s">
        <v>422</v>
      </c>
      <c r="N806" s="491">
        <f t="shared" si="55"/>
        <v>24960</v>
      </c>
      <c r="O806" s="631"/>
      <c r="Q806" s="595"/>
      <c r="R806" s="484"/>
      <c r="S806" s="595"/>
      <c r="T806" s="595"/>
      <c r="U806" s="595"/>
    </row>
    <row r="807" spans="2:21" ht="14.1" hidden="1" customHeight="1">
      <c r="B807" s="951"/>
      <c r="C807" s="607"/>
      <c r="D807" s="607"/>
      <c r="E807" s="615" t="s">
        <v>65</v>
      </c>
      <c r="F807" s="615"/>
      <c r="G807" s="605" t="s">
        <v>66</v>
      </c>
      <c r="H807" s="616">
        <v>0.04</v>
      </c>
      <c r="I807" s="500">
        <f>'UPH-TNG'!$I$20</f>
        <v>98000</v>
      </c>
      <c r="J807" s="491">
        <f>ROUND(H807*I807,2)</f>
        <v>3920</v>
      </c>
      <c r="K807" s="496"/>
      <c r="L807" s="493">
        <v>1</v>
      </c>
      <c r="M807" s="493" t="s">
        <v>422</v>
      </c>
      <c r="N807" s="491">
        <f t="shared" si="55"/>
        <v>3920</v>
      </c>
      <c r="Q807" s="595"/>
      <c r="R807" s="484"/>
      <c r="S807" s="595"/>
      <c r="T807" s="595"/>
      <c r="U807" s="595"/>
    </row>
    <row r="808" spans="2:21" ht="14.1" hidden="1" customHeight="1">
      <c r="B808" s="951"/>
      <c r="C808" s="600"/>
      <c r="D808" s="602"/>
      <c r="E808" s="612"/>
      <c r="F808" s="613"/>
      <c r="G808" s="610"/>
      <c r="H808" s="614"/>
      <c r="I808" s="504"/>
      <c r="J808" s="681"/>
      <c r="K808" s="494">
        <f>SUM(J804:J807)</f>
        <v>259280</v>
      </c>
      <c r="L808" s="493"/>
      <c r="M808" s="494"/>
      <c r="N808" s="491">
        <f t="shared" si="55"/>
        <v>0</v>
      </c>
      <c r="P808" s="572">
        <f>K808/K811</f>
        <v>0.29321029538155335</v>
      </c>
      <c r="Q808" s="595"/>
      <c r="R808" s="484"/>
      <c r="S808" s="595"/>
      <c r="T808" s="595"/>
      <c r="U808" s="595"/>
    </row>
    <row r="809" spans="2:21" ht="14.1" hidden="1" customHeight="1">
      <c r="B809" s="951"/>
      <c r="C809" s="598" t="s">
        <v>215</v>
      </c>
      <c r="D809" s="603" t="s">
        <v>212</v>
      </c>
      <c r="E809" s="615"/>
      <c r="F809" s="615"/>
      <c r="G809" s="605"/>
      <c r="H809" s="616"/>
      <c r="I809" s="617"/>
      <c r="J809" s="491"/>
      <c r="K809" s="492"/>
      <c r="L809" s="493"/>
      <c r="M809" s="494"/>
      <c r="N809" s="491">
        <f t="shared" si="55"/>
        <v>0</v>
      </c>
      <c r="Q809" s="595"/>
      <c r="R809" s="484"/>
      <c r="S809" s="595"/>
      <c r="T809" s="595"/>
      <c r="U809" s="595"/>
    </row>
    <row r="810" spans="2:21" ht="14.1" hidden="1" customHeight="1">
      <c r="B810" s="951"/>
      <c r="C810" s="602"/>
      <c r="D810" s="602"/>
      <c r="E810" s="612"/>
      <c r="F810" s="613"/>
      <c r="G810" s="610"/>
      <c r="H810" s="614"/>
      <c r="I810" s="618"/>
      <c r="J810" s="495"/>
      <c r="K810" s="494">
        <f>SUM(J809:J809)</f>
        <v>0</v>
      </c>
      <c r="L810" s="493"/>
      <c r="M810" s="494"/>
      <c r="N810" s="491">
        <f t="shared" si="55"/>
        <v>0</v>
      </c>
      <c r="Q810" s="595"/>
      <c r="R810" s="484"/>
      <c r="S810" s="595"/>
      <c r="T810" s="595"/>
      <c r="U810" s="595"/>
    </row>
    <row r="811" spans="2:21" ht="14.1" hidden="1" customHeight="1">
      <c r="B811" s="951"/>
      <c r="C811" s="600" t="s">
        <v>216</v>
      </c>
      <c r="D811" s="619" t="s">
        <v>219</v>
      </c>
      <c r="E811" s="613"/>
      <c r="F811" s="613"/>
      <c r="G811" s="610"/>
      <c r="H811" s="614"/>
      <c r="I811" s="618"/>
      <c r="J811" s="497" t="s">
        <v>220</v>
      </c>
      <c r="K811" s="494">
        <f>K803+K808+K810</f>
        <v>884280</v>
      </c>
      <c r="L811" s="620">
        <f>N811/K811</f>
        <v>0.29321029538155335</v>
      </c>
      <c r="M811" s="497"/>
      <c r="N811" s="498">
        <f>SUM(N799:N810)</f>
        <v>259280</v>
      </c>
      <c r="Q811" s="595"/>
      <c r="R811" s="484"/>
      <c r="S811" s="595"/>
      <c r="T811" s="595"/>
      <c r="U811" s="595"/>
    </row>
    <row r="812" spans="2:21" ht="14.1" hidden="1" customHeight="1">
      <c r="B812" s="951"/>
      <c r="C812" s="600" t="s">
        <v>217</v>
      </c>
      <c r="D812" s="619" t="s">
        <v>221</v>
      </c>
      <c r="E812" s="613"/>
      <c r="F812" s="499">
        <f>$F$48</f>
        <v>0.1</v>
      </c>
      <c r="G812" s="605" t="s">
        <v>168</v>
      </c>
      <c r="H812" s="499">
        <f>$H$48</f>
        <v>0.02</v>
      </c>
      <c r="I812" s="621" t="s">
        <v>167</v>
      </c>
      <c r="J812" s="494" t="s">
        <v>216</v>
      </c>
      <c r="K812" s="500">
        <f>ROUND((K811*(F812+H812)),2)</f>
        <v>106113.60000000001</v>
      </c>
      <c r="L812" s="494"/>
      <c r="M812" s="494"/>
      <c r="N812" s="494"/>
      <c r="Q812" s="595"/>
      <c r="R812" s="484"/>
      <c r="S812" s="595"/>
      <c r="T812" s="595"/>
      <c r="U812" s="595"/>
    </row>
    <row r="813" spans="2:21" ht="14.1" hidden="1" customHeight="1">
      <c r="B813" s="951"/>
      <c r="C813" s="622" t="s">
        <v>222</v>
      </c>
      <c r="D813" s="623" t="s">
        <v>76</v>
      </c>
      <c r="E813" s="624"/>
      <c r="F813" s="624"/>
      <c r="G813" s="624"/>
      <c r="H813" s="625"/>
      <c r="I813" s="624"/>
      <c r="J813" s="626" t="s">
        <v>226</v>
      </c>
      <c r="K813" s="627">
        <f>SUM(K811:K812)</f>
        <v>990393.6</v>
      </c>
      <c r="L813" s="620"/>
      <c r="M813" s="626"/>
      <c r="N813" s="635"/>
      <c r="Q813" s="595"/>
      <c r="R813" s="484"/>
      <c r="S813" s="595"/>
      <c r="T813" s="595"/>
      <c r="U813" s="595"/>
    </row>
    <row r="814" spans="2:21" hidden="1">
      <c r="Q814" s="595"/>
      <c r="R814" s="484"/>
      <c r="S814" s="595"/>
      <c r="T814" s="595"/>
      <c r="U814" s="595"/>
    </row>
    <row r="815" spans="2:21" ht="14.1" customHeight="1">
      <c r="B815" s="951">
        <f>B794+1</f>
        <v>42</v>
      </c>
      <c r="C815" s="488"/>
      <c r="D815" s="485" t="s">
        <v>648</v>
      </c>
      <c r="E815" s="485"/>
      <c r="F815" s="485"/>
      <c r="G815" s="485"/>
      <c r="H815" s="488"/>
      <c r="I815" s="485"/>
      <c r="J815" s="485"/>
      <c r="K815" s="591" t="s">
        <v>239</v>
      </c>
      <c r="L815" s="591"/>
      <c r="M815" s="591"/>
      <c r="N815" s="591"/>
      <c r="O815" s="506" t="str">
        <f>D816</f>
        <v>m2</v>
      </c>
      <c r="P815" s="682">
        <f>K835</f>
        <v>902659.52</v>
      </c>
      <c r="Q815" s="593">
        <f>L833</f>
        <v>0.46272703133956872</v>
      </c>
      <c r="R815" s="484">
        <f>N833</f>
        <v>372933.00000000006</v>
      </c>
      <c r="S815" s="594"/>
      <c r="T815" s="484"/>
      <c r="U815" s="593"/>
    </row>
    <row r="816" spans="2:21" ht="14.1" customHeight="1">
      <c r="B816" s="951"/>
      <c r="C816" s="488"/>
      <c r="D816" s="485" t="s">
        <v>100</v>
      </c>
      <c r="E816" s="485"/>
      <c r="F816" s="485"/>
      <c r="G816" s="485"/>
      <c r="H816" s="488"/>
      <c r="I816" s="485"/>
      <c r="J816" s="485"/>
      <c r="K816" s="485"/>
      <c r="L816" s="485"/>
      <c r="M816" s="485"/>
      <c r="N816" s="485"/>
      <c r="Q816" s="595"/>
      <c r="R816" s="484"/>
      <c r="S816" s="595"/>
      <c r="T816" s="595"/>
      <c r="U816" s="595"/>
    </row>
    <row r="817" spans="2:21" ht="14.1" customHeight="1">
      <c r="B817" s="951"/>
      <c r="C817" s="596"/>
      <c r="D817" s="977" t="s">
        <v>55</v>
      </c>
      <c r="E817" s="978"/>
      <c r="F817" s="597"/>
      <c r="G817" s="981" t="s">
        <v>56</v>
      </c>
      <c r="H817" s="981" t="s">
        <v>57</v>
      </c>
      <c r="I817" s="596" t="s">
        <v>58</v>
      </c>
      <c r="J817" s="596" t="s">
        <v>59</v>
      </c>
      <c r="K817" s="596" t="s">
        <v>102</v>
      </c>
      <c r="L817" s="596" t="s">
        <v>418</v>
      </c>
      <c r="M817" s="596" t="s">
        <v>419</v>
      </c>
      <c r="N817" s="596" t="s">
        <v>59</v>
      </c>
      <c r="Q817" s="595"/>
      <c r="R817" s="484"/>
      <c r="S817" s="595"/>
      <c r="T817" s="595"/>
      <c r="U817" s="595"/>
    </row>
    <row r="818" spans="2:21" ht="14.1" customHeight="1">
      <c r="B818" s="951"/>
      <c r="C818" s="598" t="s">
        <v>227</v>
      </c>
      <c r="D818" s="979"/>
      <c r="E818" s="980"/>
      <c r="F818" s="599"/>
      <c r="G818" s="982"/>
      <c r="H818" s="982"/>
      <c r="I818" s="598" t="s">
        <v>60</v>
      </c>
      <c r="J818" s="598" t="s">
        <v>61</v>
      </c>
      <c r="K818" s="598" t="s">
        <v>61</v>
      </c>
      <c r="L818" s="598" t="s">
        <v>421</v>
      </c>
      <c r="M818" s="598"/>
      <c r="N818" s="598" t="s">
        <v>423</v>
      </c>
      <c r="Q818" s="595"/>
      <c r="R818" s="484"/>
      <c r="S818" s="595"/>
      <c r="T818" s="595"/>
      <c r="U818" s="595"/>
    </row>
    <row r="819" spans="2:21" ht="14.1" customHeight="1">
      <c r="B819" s="951"/>
      <c r="C819" s="600"/>
      <c r="D819" s="969"/>
      <c r="E819" s="970"/>
      <c r="F819" s="601"/>
      <c r="G819" s="973"/>
      <c r="H819" s="973"/>
      <c r="I819" s="600" t="s">
        <v>61</v>
      </c>
      <c r="J819" s="602"/>
      <c r="K819" s="602"/>
      <c r="L819" s="602"/>
      <c r="M819" s="602"/>
      <c r="N819" s="600" t="s">
        <v>61</v>
      </c>
      <c r="Q819" s="595"/>
      <c r="R819" s="484"/>
      <c r="S819" s="595"/>
      <c r="T819" s="595"/>
      <c r="U819" s="595"/>
    </row>
    <row r="820" spans="2:21" ht="14.1" customHeight="1">
      <c r="B820" s="951"/>
      <c r="C820" s="596" t="s">
        <v>213</v>
      </c>
      <c r="D820" s="607" t="s">
        <v>62</v>
      </c>
      <c r="E820" s="637" t="s">
        <v>517</v>
      </c>
      <c r="F820" s="637"/>
      <c r="G820" s="605" t="s">
        <v>83</v>
      </c>
      <c r="H820" s="616">
        <v>4.4000000000000004</v>
      </c>
      <c r="I820" s="632">
        <f>'UPH-TNG'!$I$126</f>
        <v>115000</v>
      </c>
      <c r="J820" s="491">
        <f>ROUND(H820*I820,2)</f>
        <v>506000</v>
      </c>
      <c r="K820" s="603"/>
      <c r="L820" s="501">
        <f>$L$735</f>
        <v>0.50570000000000004</v>
      </c>
      <c r="M820" s="494" t="s">
        <v>429</v>
      </c>
      <c r="N820" s="491">
        <f t="shared" ref="N820:N832" si="57">L820*J820</f>
        <v>255884.2</v>
      </c>
      <c r="Q820" s="595"/>
      <c r="R820" s="484"/>
      <c r="S820" s="595"/>
      <c r="T820" s="595"/>
      <c r="U820" s="595"/>
    </row>
    <row r="821" spans="2:21" ht="14.1" customHeight="1">
      <c r="B821" s="951"/>
      <c r="C821" s="670"/>
      <c r="D821" s="666"/>
      <c r="E821" s="679" t="s">
        <v>451</v>
      </c>
      <c r="F821" s="679"/>
      <c r="G821" s="673" t="s">
        <v>100</v>
      </c>
      <c r="H821" s="680">
        <v>1.1000000000000001</v>
      </c>
      <c r="I821" s="518">
        <f>'UPH-TNG'!$I$71</f>
        <v>129000</v>
      </c>
      <c r="J821" s="491">
        <f>ROUND(H821*I821,2)</f>
        <v>141900</v>
      </c>
      <c r="K821" s="666"/>
      <c r="L821" s="501">
        <v>0.57130000000000003</v>
      </c>
      <c r="M821" s="494" t="s">
        <v>429</v>
      </c>
      <c r="N821" s="491">
        <f t="shared" si="57"/>
        <v>81067.47</v>
      </c>
      <c r="Q821" s="595"/>
      <c r="R821" s="484"/>
      <c r="S821" s="595"/>
      <c r="T821" s="595"/>
      <c r="U821" s="595"/>
    </row>
    <row r="822" spans="2:21" ht="14.1" customHeight="1">
      <c r="B822" s="951"/>
      <c r="C822" s="607"/>
      <c r="D822" s="607"/>
      <c r="E822" s="637" t="s">
        <v>269</v>
      </c>
      <c r="F822" s="637"/>
      <c r="G822" s="605" t="s">
        <v>83</v>
      </c>
      <c r="H822" s="616">
        <v>4.5</v>
      </c>
      <c r="I822" s="632">
        <f>'UPH-TNG'!$I$124</f>
        <v>8200</v>
      </c>
      <c r="J822" s="491">
        <f>ROUND(H822*I822,2)</f>
        <v>36900</v>
      </c>
      <c r="K822" s="607"/>
      <c r="L822" s="501">
        <f>$L$735</f>
        <v>0.50570000000000004</v>
      </c>
      <c r="M822" s="494" t="s">
        <v>429</v>
      </c>
      <c r="N822" s="491">
        <f t="shared" si="57"/>
        <v>18660.330000000002</v>
      </c>
      <c r="Q822" s="595"/>
      <c r="R822" s="484"/>
      <c r="S822" s="595"/>
      <c r="T822" s="595"/>
      <c r="U822" s="595"/>
    </row>
    <row r="823" spans="2:21" ht="14.1" customHeight="1">
      <c r="B823" s="951"/>
      <c r="C823" s="607"/>
      <c r="D823" s="607"/>
      <c r="E823" s="637" t="s">
        <v>35</v>
      </c>
      <c r="F823" s="637"/>
      <c r="G823" s="605" t="s">
        <v>38</v>
      </c>
      <c r="H823" s="616">
        <v>0.27</v>
      </c>
      <c r="I823" s="632">
        <f>'UPH-TNG'!$I$131</f>
        <v>60000</v>
      </c>
      <c r="J823" s="491">
        <f>ROUND(H823*I823,2)</f>
        <v>16200</v>
      </c>
      <c r="K823" s="607"/>
      <c r="L823" s="501">
        <v>0</v>
      </c>
      <c r="M823" s="494"/>
      <c r="N823" s="491">
        <f t="shared" si="57"/>
        <v>0</v>
      </c>
      <c r="Q823" s="595"/>
      <c r="R823" s="484"/>
      <c r="S823" s="595"/>
      <c r="T823" s="595"/>
      <c r="U823" s="595"/>
    </row>
    <row r="824" spans="2:21" ht="14.1" customHeight="1">
      <c r="B824" s="951"/>
      <c r="C824" s="666"/>
      <c r="D824" s="666"/>
      <c r="E824" s="676" t="s">
        <v>519</v>
      </c>
      <c r="F824" s="637"/>
      <c r="G824" s="605" t="s">
        <v>49</v>
      </c>
      <c r="H824" s="616">
        <v>1</v>
      </c>
      <c r="I824" s="632">
        <f>+(SUM(J820:J823)*12.5%)</f>
        <v>87625</v>
      </c>
      <c r="J824" s="491">
        <f>ROUND(H824*I824,2)</f>
        <v>87625</v>
      </c>
      <c r="K824" s="607"/>
      <c r="L824" s="501">
        <v>0</v>
      </c>
      <c r="M824" s="494"/>
      <c r="N824" s="491">
        <f t="shared" si="57"/>
        <v>0</v>
      </c>
      <c r="Q824" s="595"/>
      <c r="R824" s="484"/>
      <c r="S824" s="595"/>
      <c r="T824" s="595"/>
      <c r="U824" s="595"/>
    </row>
    <row r="825" spans="2:21" ht="14.1" customHeight="1">
      <c r="B825" s="951"/>
      <c r="C825" s="600"/>
      <c r="D825" s="607"/>
      <c r="E825" s="642"/>
      <c r="F825" s="643"/>
      <c r="G825" s="610"/>
      <c r="H825" s="614"/>
      <c r="I825" s="613"/>
      <c r="J825" s="495"/>
      <c r="K825" s="491">
        <f>SUM(J820:J824)</f>
        <v>788625</v>
      </c>
      <c r="L825" s="493"/>
      <c r="M825" s="494"/>
      <c r="N825" s="491">
        <f t="shared" si="57"/>
        <v>0</v>
      </c>
      <c r="Q825" s="595"/>
      <c r="R825" s="484"/>
      <c r="S825" s="595"/>
      <c r="T825" s="595"/>
      <c r="U825" s="595"/>
    </row>
    <row r="826" spans="2:21" ht="14.1" customHeight="1">
      <c r="B826" s="951"/>
      <c r="C826" s="596" t="s">
        <v>214</v>
      </c>
      <c r="D826" s="603" t="s">
        <v>63</v>
      </c>
      <c r="E826" s="615" t="s">
        <v>69</v>
      </c>
      <c r="F826" s="615"/>
      <c r="G826" s="605" t="s">
        <v>66</v>
      </c>
      <c r="H826" s="616">
        <v>8.5000000000000006E-2</v>
      </c>
      <c r="I826" s="491">
        <f>'UPH-TNG'!$I$15</f>
        <v>92000</v>
      </c>
      <c r="J826" s="491">
        <f>ROUND(H826*I826,2)</f>
        <v>7820</v>
      </c>
      <c r="K826" s="603"/>
      <c r="L826" s="493">
        <v>1</v>
      </c>
      <c r="M826" s="493" t="s">
        <v>422</v>
      </c>
      <c r="N826" s="491">
        <f t="shared" si="57"/>
        <v>7820</v>
      </c>
      <c r="Q826" s="595"/>
      <c r="R826" s="484"/>
      <c r="S826" s="595"/>
      <c r="T826" s="595"/>
      <c r="U826" s="595"/>
    </row>
    <row r="827" spans="2:21" ht="14.1" customHeight="1">
      <c r="B827" s="951"/>
      <c r="C827" s="607"/>
      <c r="D827" s="607"/>
      <c r="E827" s="615" t="s">
        <v>149</v>
      </c>
      <c r="F827" s="615"/>
      <c r="G827" s="605" t="s">
        <v>66</v>
      </c>
      <c r="H827" s="616">
        <v>8.5000000000000006E-2</v>
      </c>
      <c r="I827" s="491">
        <f>'UPH-TNG'!$I$22</f>
        <v>95000</v>
      </c>
      <c r="J827" s="491">
        <f>ROUND(H827*I827,2)</f>
        <v>8075</v>
      </c>
      <c r="K827" s="496"/>
      <c r="L827" s="493">
        <v>1</v>
      </c>
      <c r="M827" s="493" t="s">
        <v>422</v>
      </c>
      <c r="N827" s="491">
        <f t="shared" si="57"/>
        <v>8075</v>
      </c>
      <c r="Q827" s="595"/>
      <c r="R827" s="484"/>
      <c r="S827" s="595"/>
      <c r="T827" s="595"/>
      <c r="U827" s="595"/>
    </row>
    <row r="828" spans="2:21" ht="14.1" customHeight="1">
      <c r="B828" s="951"/>
      <c r="C828" s="607"/>
      <c r="D828" s="607"/>
      <c r="E828" s="615" t="s">
        <v>238</v>
      </c>
      <c r="F828" s="615"/>
      <c r="G828" s="605" t="s">
        <v>66</v>
      </c>
      <c r="H828" s="616">
        <v>8.9999999999999993E-3</v>
      </c>
      <c r="I828" s="494">
        <f>'UPH-TNG'!$I$17</f>
        <v>104000</v>
      </c>
      <c r="J828" s="491">
        <f>ROUND(H828*I828,2)</f>
        <v>936</v>
      </c>
      <c r="K828" s="496"/>
      <c r="L828" s="493">
        <v>1</v>
      </c>
      <c r="M828" s="493" t="s">
        <v>422</v>
      </c>
      <c r="N828" s="491">
        <f t="shared" si="57"/>
        <v>936</v>
      </c>
      <c r="Q828" s="595"/>
      <c r="R828" s="484"/>
      <c r="S828" s="595"/>
      <c r="T828" s="595"/>
      <c r="U828" s="595"/>
    </row>
    <row r="829" spans="2:21" ht="14.1" customHeight="1">
      <c r="B829" s="951"/>
      <c r="C829" s="607"/>
      <c r="D829" s="607"/>
      <c r="E829" s="615" t="s">
        <v>65</v>
      </c>
      <c r="F829" s="615"/>
      <c r="G829" s="605" t="s">
        <v>66</v>
      </c>
      <c r="H829" s="616">
        <v>5.0000000000000001E-3</v>
      </c>
      <c r="I829" s="491">
        <f>'UPH-TNG'!$I$20</f>
        <v>98000</v>
      </c>
      <c r="J829" s="491">
        <f>ROUND(H829*I829,2)</f>
        <v>490</v>
      </c>
      <c r="K829" s="496"/>
      <c r="L829" s="493">
        <v>1</v>
      </c>
      <c r="M829" s="493" t="s">
        <v>422</v>
      </c>
      <c r="N829" s="491">
        <f t="shared" si="57"/>
        <v>490</v>
      </c>
      <c r="Q829" s="595"/>
      <c r="R829" s="484"/>
      <c r="S829" s="595"/>
      <c r="T829" s="595"/>
      <c r="U829" s="595"/>
    </row>
    <row r="830" spans="2:21" ht="14.1" customHeight="1">
      <c r="B830" s="951"/>
      <c r="C830" s="600"/>
      <c r="D830" s="602"/>
      <c r="E830" s="612"/>
      <c r="F830" s="613"/>
      <c r="G830" s="610"/>
      <c r="H830" s="614"/>
      <c r="I830" s="504"/>
      <c r="J830" s="681"/>
      <c r="K830" s="494">
        <f>SUM(J826:J829)</f>
        <v>17321</v>
      </c>
      <c r="L830" s="493"/>
      <c r="M830" s="494"/>
      <c r="N830" s="491">
        <f t="shared" si="57"/>
        <v>0</v>
      </c>
      <c r="Q830" s="595"/>
      <c r="R830" s="484"/>
      <c r="S830" s="595"/>
      <c r="T830" s="595"/>
      <c r="U830" s="595"/>
    </row>
    <row r="831" spans="2:21" ht="14.1" customHeight="1">
      <c r="B831" s="951"/>
      <c r="C831" s="598" t="s">
        <v>215</v>
      </c>
      <c r="D831" s="603" t="s">
        <v>212</v>
      </c>
      <c r="E831" s="615"/>
      <c r="F831" s="615"/>
      <c r="G831" s="605"/>
      <c r="H831" s="616"/>
      <c r="I831" s="617"/>
      <c r="J831" s="491"/>
      <c r="K831" s="492"/>
      <c r="L831" s="493"/>
      <c r="M831" s="494"/>
      <c r="N831" s="491">
        <f t="shared" si="57"/>
        <v>0</v>
      </c>
      <c r="Q831" s="595"/>
      <c r="R831" s="484"/>
      <c r="S831" s="595"/>
      <c r="T831" s="595"/>
      <c r="U831" s="595"/>
    </row>
    <row r="832" spans="2:21" ht="14.1" customHeight="1">
      <c r="B832" s="951"/>
      <c r="C832" s="602"/>
      <c r="D832" s="602"/>
      <c r="E832" s="612"/>
      <c r="F832" s="613"/>
      <c r="G832" s="610"/>
      <c r="H832" s="614"/>
      <c r="I832" s="618"/>
      <c r="J832" s="495"/>
      <c r="K832" s="494">
        <f>SUM(J831:J831)</f>
        <v>0</v>
      </c>
      <c r="L832" s="493"/>
      <c r="M832" s="494"/>
      <c r="N832" s="491">
        <f t="shared" si="57"/>
        <v>0</v>
      </c>
      <c r="Q832" s="595"/>
      <c r="R832" s="484"/>
      <c r="S832" s="595"/>
      <c r="T832" s="595"/>
      <c r="U832" s="595"/>
    </row>
    <row r="833" spans="2:21" ht="14.1" customHeight="1">
      <c r="B833" s="951"/>
      <c r="C833" s="600" t="s">
        <v>216</v>
      </c>
      <c r="D833" s="619" t="s">
        <v>219</v>
      </c>
      <c r="E833" s="613"/>
      <c r="F833" s="613"/>
      <c r="G833" s="610"/>
      <c r="H833" s="614"/>
      <c r="I833" s="618"/>
      <c r="J833" s="497" t="s">
        <v>220</v>
      </c>
      <c r="K833" s="494">
        <f>K825+K830+K832</f>
        <v>805946</v>
      </c>
      <c r="L833" s="620">
        <f>N833/K833</f>
        <v>0.46272703133956872</v>
      </c>
      <c r="M833" s="497"/>
      <c r="N833" s="498">
        <f>SUM(N820:N832)</f>
        <v>372933.00000000006</v>
      </c>
      <c r="Q833" s="595"/>
      <c r="R833" s="484"/>
      <c r="S833" s="595"/>
      <c r="T833" s="595"/>
      <c r="U833" s="595"/>
    </row>
    <row r="834" spans="2:21" ht="14.1" customHeight="1">
      <c r="B834" s="951"/>
      <c r="C834" s="600" t="s">
        <v>217</v>
      </c>
      <c r="D834" s="619" t="s">
        <v>221</v>
      </c>
      <c r="E834" s="613"/>
      <c r="F834" s="499">
        <f>$F$48</f>
        <v>0.1</v>
      </c>
      <c r="G834" s="605" t="s">
        <v>168</v>
      </c>
      <c r="H834" s="499">
        <f>$H$48</f>
        <v>0.02</v>
      </c>
      <c r="I834" s="621" t="s">
        <v>167</v>
      </c>
      <c r="J834" s="494" t="s">
        <v>216</v>
      </c>
      <c r="K834" s="500">
        <f>ROUND((K833*(F834+H834)),2)</f>
        <v>96713.52</v>
      </c>
      <c r="L834" s="494"/>
      <c r="M834" s="494"/>
      <c r="N834" s="494"/>
      <c r="Q834" s="595"/>
      <c r="R834" s="484"/>
      <c r="S834" s="595"/>
      <c r="T834" s="595"/>
      <c r="U834" s="595"/>
    </row>
    <row r="835" spans="2:21" ht="14.1" customHeight="1">
      <c r="B835" s="951"/>
      <c r="C835" s="622" t="s">
        <v>222</v>
      </c>
      <c r="D835" s="623" t="s">
        <v>76</v>
      </c>
      <c r="E835" s="624"/>
      <c r="F835" s="624"/>
      <c r="G835" s="624"/>
      <c r="H835" s="625"/>
      <c r="I835" s="624"/>
      <c r="J835" s="626" t="s">
        <v>226</v>
      </c>
      <c r="K835" s="627">
        <f>SUM(K833:K834)</f>
        <v>902659.52</v>
      </c>
      <c r="L835" s="620"/>
      <c r="M835" s="626"/>
      <c r="N835" s="635"/>
      <c r="Q835" s="595"/>
      <c r="R835" s="484"/>
      <c r="S835" s="595"/>
      <c r="T835" s="595"/>
      <c r="U835" s="595"/>
    </row>
    <row r="836" spans="2:21">
      <c r="Q836" s="595"/>
      <c r="R836" s="484"/>
      <c r="S836" s="595"/>
      <c r="T836" s="595"/>
      <c r="U836" s="595"/>
    </row>
    <row r="837" spans="2:21">
      <c r="B837" s="951">
        <f>B815+1</f>
        <v>43</v>
      </c>
      <c r="C837" s="488"/>
      <c r="D837" s="485" t="s">
        <v>631</v>
      </c>
      <c r="E837" s="485"/>
      <c r="F837" s="485"/>
      <c r="G837" s="485"/>
      <c r="H837" s="488"/>
      <c r="I837" s="485"/>
      <c r="J837" s="485"/>
      <c r="K837" s="591" t="s">
        <v>569</v>
      </c>
      <c r="L837" s="591"/>
      <c r="M837" s="591"/>
      <c r="N837" s="591"/>
      <c r="O837" s="506" t="str">
        <f>D838</f>
        <v>bh</v>
      </c>
      <c r="P837" s="682">
        <f>K853</f>
        <v>417780.16000000003</v>
      </c>
      <c r="Q837" s="593">
        <f>L851</f>
        <v>6.1707477923317371E-2</v>
      </c>
      <c r="R837" s="484">
        <f>N851</f>
        <v>23018</v>
      </c>
      <c r="S837" s="595"/>
      <c r="T837" s="595"/>
      <c r="U837" s="595"/>
    </row>
    <row r="838" spans="2:21">
      <c r="B838" s="951"/>
      <c r="C838" s="488"/>
      <c r="D838" s="485" t="s">
        <v>45</v>
      </c>
      <c r="E838" s="485"/>
      <c r="F838" s="485"/>
      <c r="G838" s="485"/>
      <c r="H838" s="488"/>
      <c r="I838" s="485"/>
      <c r="J838" s="485"/>
      <c r="K838" s="485"/>
      <c r="L838" s="485"/>
      <c r="M838" s="485"/>
      <c r="N838" s="485"/>
      <c r="Q838" s="595"/>
      <c r="R838" s="484"/>
      <c r="S838" s="595"/>
      <c r="T838" s="595"/>
      <c r="U838" s="595"/>
    </row>
    <row r="839" spans="2:21">
      <c r="B839" s="951"/>
      <c r="C839" s="596"/>
      <c r="D839" s="977" t="s">
        <v>55</v>
      </c>
      <c r="E839" s="978"/>
      <c r="F839" s="597"/>
      <c r="G839" s="981" t="s">
        <v>56</v>
      </c>
      <c r="H839" s="981" t="s">
        <v>57</v>
      </c>
      <c r="I839" s="596" t="s">
        <v>58</v>
      </c>
      <c r="J839" s="596" t="s">
        <v>59</v>
      </c>
      <c r="K839" s="596" t="s">
        <v>102</v>
      </c>
      <c r="L839" s="596" t="s">
        <v>418</v>
      </c>
      <c r="M839" s="596" t="s">
        <v>419</v>
      </c>
      <c r="N839" s="596" t="s">
        <v>59</v>
      </c>
      <c r="Q839" s="595"/>
      <c r="R839" s="484"/>
      <c r="S839" s="595"/>
      <c r="T839" s="595"/>
      <c r="U839" s="595"/>
    </row>
    <row r="840" spans="2:21">
      <c r="B840" s="951"/>
      <c r="C840" s="598" t="s">
        <v>227</v>
      </c>
      <c r="D840" s="979"/>
      <c r="E840" s="980"/>
      <c r="F840" s="599"/>
      <c r="G840" s="982"/>
      <c r="H840" s="982"/>
      <c r="I840" s="598" t="s">
        <v>60</v>
      </c>
      <c r="J840" s="598" t="s">
        <v>61</v>
      </c>
      <c r="K840" s="598" t="s">
        <v>61</v>
      </c>
      <c r="L840" s="598" t="s">
        <v>421</v>
      </c>
      <c r="M840" s="598"/>
      <c r="N840" s="598" t="s">
        <v>423</v>
      </c>
      <c r="Q840" s="595"/>
      <c r="R840" s="484"/>
      <c r="S840" s="595"/>
      <c r="T840" s="595"/>
      <c r="U840" s="595"/>
    </row>
    <row r="841" spans="2:21">
      <c r="B841" s="951"/>
      <c r="C841" s="600"/>
      <c r="D841" s="969"/>
      <c r="E841" s="970"/>
      <c r="F841" s="601"/>
      <c r="G841" s="973"/>
      <c r="H841" s="973"/>
      <c r="I841" s="600" t="s">
        <v>61</v>
      </c>
      <c r="J841" s="602"/>
      <c r="K841" s="602"/>
      <c r="L841" s="602"/>
      <c r="M841" s="602"/>
      <c r="N841" s="600" t="s">
        <v>61</v>
      </c>
      <c r="Q841" s="595"/>
      <c r="R841" s="484"/>
      <c r="S841" s="595"/>
      <c r="T841" s="595"/>
      <c r="U841" s="595"/>
    </row>
    <row r="842" spans="2:21">
      <c r="B842" s="951"/>
      <c r="C842" s="596" t="s">
        <v>213</v>
      </c>
      <c r="D842" s="607" t="s">
        <v>62</v>
      </c>
      <c r="E842" s="637" t="s">
        <v>570</v>
      </c>
      <c r="F842" s="637"/>
      <c r="G842" s="605" t="s">
        <v>45</v>
      </c>
      <c r="H842" s="616">
        <v>1</v>
      </c>
      <c r="I842" s="632">
        <f>'UPH-TNG'!I127</f>
        <v>350000</v>
      </c>
      <c r="J842" s="491">
        <f>ROUND(H842*I842,2)</f>
        <v>350000</v>
      </c>
      <c r="K842" s="603"/>
      <c r="L842" s="501">
        <v>0</v>
      </c>
      <c r="M842" s="494"/>
      <c r="N842" s="491">
        <f t="shared" ref="N842:N850" si="58">L842*J842</f>
        <v>0</v>
      </c>
      <c r="Q842" s="595"/>
      <c r="R842" s="484"/>
      <c r="S842" s="595"/>
      <c r="T842" s="595"/>
      <c r="U842" s="595"/>
    </row>
    <row r="843" spans="2:21">
      <c r="B843" s="951"/>
      <c r="C843" s="600"/>
      <c r="D843" s="607"/>
      <c r="E843" s="642"/>
      <c r="F843" s="643"/>
      <c r="G843" s="610"/>
      <c r="H843" s="614"/>
      <c r="I843" s="613"/>
      <c r="J843" s="495"/>
      <c r="K843" s="491">
        <f>SUM(J842:J842)</f>
        <v>350000</v>
      </c>
      <c r="L843" s="493"/>
      <c r="M843" s="494"/>
      <c r="N843" s="491">
        <f t="shared" si="58"/>
        <v>0</v>
      </c>
      <c r="Q843" s="595"/>
      <c r="R843" s="484"/>
      <c r="S843" s="595"/>
      <c r="T843" s="595"/>
      <c r="U843" s="595"/>
    </row>
    <row r="844" spans="2:21">
      <c r="B844" s="951"/>
      <c r="C844" s="596" t="s">
        <v>214</v>
      </c>
      <c r="D844" s="603" t="s">
        <v>63</v>
      </c>
      <c r="E844" s="615" t="s">
        <v>69</v>
      </c>
      <c r="F844" s="615"/>
      <c r="G844" s="605" t="s">
        <v>66</v>
      </c>
      <c r="H844" s="616">
        <v>0.02</v>
      </c>
      <c r="I844" s="491">
        <f>'UPH-TNG'!$I$15</f>
        <v>92000</v>
      </c>
      <c r="J844" s="491">
        <f>ROUND(H844*I844,2)</f>
        <v>1840</v>
      </c>
      <c r="K844" s="603"/>
      <c r="L844" s="493">
        <v>1</v>
      </c>
      <c r="M844" s="493" t="s">
        <v>422</v>
      </c>
      <c r="N844" s="491">
        <f t="shared" si="58"/>
        <v>1840</v>
      </c>
      <c r="Q844" s="595"/>
      <c r="R844" s="484"/>
      <c r="S844" s="595"/>
      <c r="T844" s="595"/>
      <c r="U844" s="595"/>
    </row>
    <row r="845" spans="2:21">
      <c r="B845" s="951"/>
      <c r="C845" s="607"/>
      <c r="D845" s="607"/>
      <c r="E845" s="615" t="s">
        <v>149</v>
      </c>
      <c r="F845" s="615"/>
      <c r="G845" s="605" t="s">
        <v>66</v>
      </c>
      <c r="H845" s="616">
        <v>0.2</v>
      </c>
      <c r="I845" s="491">
        <f>'UPH-TNG'!$I$22</f>
        <v>95000</v>
      </c>
      <c r="J845" s="491">
        <f>ROUND(H845*I845,2)</f>
        <v>19000</v>
      </c>
      <c r="K845" s="496"/>
      <c r="L845" s="493">
        <v>1</v>
      </c>
      <c r="M845" s="493" t="s">
        <v>422</v>
      </c>
      <c r="N845" s="491">
        <f t="shared" si="58"/>
        <v>19000</v>
      </c>
      <c r="Q845" s="595"/>
      <c r="R845" s="484"/>
      <c r="S845" s="595"/>
      <c r="T845" s="595"/>
      <c r="U845" s="595"/>
    </row>
    <row r="846" spans="2:21">
      <c r="B846" s="951"/>
      <c r="C846" s="607"/>
      <c r="D846" s="607"/>
      <c r="E846" s="615" t="s">
        <v>238</v>
      </c>
      <c r="F846" s="615"/>
      <c r="G846" s="605" t="s">
        <v>66</v>
      </c>
      <c r="H846" s="616">
        <v>0.02</v>
      </c>
      <c r="I846" s="494">
        <f>'UPH-TNG'!$I$17</f>
        <v>104000</v>
      </c>
      <c r="J846" s="491">
        <f>ROUND(H846*I846,2)</f>
        <v>2080</v>
      </c>
      <c r="K846" s="496"/>
      <c r="L846" s="493">
        <v>1</v>
      </c>
      <c r="M846" s="493" t="s">
        <v>422</v>
      </c>
      <c r="N846" s="491">
        <f t="shared" si="58"/>
        <v>2080</v>
      </c>
      <c r="Q846" s="595"/>
      <c r="R846" s="484"/>
      <c r="S846" s="595"/>
      <c r="T846" s="595"/>
      <c r="U846" s="595"/>
    </row>
    <row r="847" spans="2:21">
      <c r="B847" s="951"/>
      <c r="C847" s="607"/>
      <c r="D847" s="607"/>
      <c r="E847" s="615" t="s">
        <v>65</v>
      </c>
      <c r="F847" s="615"/>
      <c r="G847" s="605" t="s">
        <v>66</v>
      </c>
      <c r="H847" s="616">
        <v>1E-3</v>
      </c>
      <c r="I847" s="491">
        <f>'UPH-TNG'!$I$20</f>
        <v>98000</v>
      </c>
      <c r="J847" s="491">
        <f>ROUND(H847*I847,2)</f>
        <v>98</v>
      </c>
      <c r="K847" s="496"/>
      <c r="L847" s="493">
        <v>1</v>
      </c>
      <c r="M847" s="493" t="s">
        <v>422</v>
      </c>
      <c r="N847" s="491">
        <f t="shared" si="58"/>
        <v>98</v>
      </c>
      <c r="Q847" s="595"/>
      <c r="R847" s="484"/>
      <c r="S847" s="595"/>
      <c r="T847" s="595"/>
      <c r="U847" s="595"/>
    </row>
    <row r="848" spans="2:21">
      <c r="B848" s="951"/>
      <c r="C848" s="600"/>
      <c r="D848" s="602"/>
      <c r="E848" s="612"/>
      <c r="F848" s="613"/>
      <c r="G848" s="610"/>
      <c r="H848" s="614"/>
      <c r="I848" s="504"/>
      <c r="J848" s="681"/>
      <c r="K848" s="494">
        <f>SUM(J844:J847)</f>
        <v>23018</v>
      </c>
      <c r="L848" s="493"/>
      <c r="M848" s="494"/>
      <c r="N848" s="491">
        <f t="shared" si="58"/>
        <v>0</v>
      </c>
      <c r="Q848" s="595"/>
      <c r="R848" s="484"/>
      <c r="S848" s="595"/>
      <c r="T848" s="595"/>
      <c r="U848" s="595"/>
    </row>
    <row r="849" spans="2:21">
      <c r="B849" s="951"/>
      <c r="C849" s="598" t="s">
        <v>215</v>
      </c>
      <c r="D849" s="603" t="s">
        <v>212</v>
      </c>
      <c r="E849" s="615"/>
      <c r="F849" s="615"/>
      <c r="G849" s="605"/>
      <c r="H849" s="616"/>
      <c r="I849" s="617"/>
      <c r="J849" s="491"/>
      <c r="K849" s="492"/>
      <c r="L849" s="493"/>
      <c r="M849" s="494"/>
      <c r="N849" s="491">
        <f t="shared" si="58"/>
        <v>0</v>
      </c>
      <c r="Q849" s="595"/>
      <c r="R849" s="484"/>
      <c r="S849" s="595"/>
      <c r="T849" s="595"/>
      <c r="U849" s="595"/>
    </row>
    <row r="850" spans="2:21">
      <c r="B850" s="951"/>
      <c r="C850" s="602"/>
      <c r="D850" s="602"/>
      <c r="E850" s="612"/>
      <c r="F850" s="613"/>
      <c r="G850" s="610"/>
      <c r="H850" s="614"/>
      <c r="I850" s="618"/>
      <c r="J850" s="495"/>
      <c r="K850" s="494">
        <f>SUM(J849:J849)</f>
        <v>0</v>
      </c>
      <c r="L850" s="493"/>
      <c r="M850" s="494"/>
      <c r="N850" s="491">
        <f t="shared" si="58"/>
        <v>0</v>
      </c>
      <c r="Q850" s="595"/>
      <c r="R850" s="484"/>
      <c r="S850" s="595"/>
      <c r="T850" s="595"/>
      <c r="U850" s="595"/>
    </row>
    <row r="851" spans="2:21" ht="15">
      <c r="B851" s="951"/>
      <c r="C851" s="600" t="s">
        <v>216</v>
      </c>
      <c r="D851" s="619" t="s">
        <v>219</v>
      </c>
      <c r="E851" s="613"/>
      <c r="F851" s="613"/>
      <c r="G851" s="610"/>
      <c r="H851" s="614"/>
      <c r="I851" s="618"/>
      <c r="J851" s="497" t="s">
        <v>220</v>
      </c>
      <c r="K851" s="494">
        <f>K843+K848+K850</f>
        <v>373018</v>
      </c>
      <c r="L851" s="620">
        <f>N851/K851</f>
        <v>6.1707477923317371E-2</v>
      </c>
      <c r="M851" s="497"/>
      <c r="N851" s="498">
        <f>SUM(N842:N850)</f>
        <v>23018</v>
      </c>
      <c r="Q851" s="595"/>
      <c r="R851" s="484"/>
      <c r="S851" s="595"/>
      <c r="T851" s="595"/>
      <c r="U851" s="595"/>
    </row>
    <row r="852" spans="2:21">
      <c r="B852" s="951"/>
      <c r="C852" s="600" t="s">
        <v>217</v>
      </c>
      <c r="D852" s="619" t="s">
        <v>221</v>
      </c>
      <c r="E852" s="613"/>
      <c r="F852" s="499">
        <f>$F$48</f>
        <v>0.1</v>
      </c>
      <c r="G852" s="605" t="s">
        <v>168</v>
      </c>
      <c r="H852" s="499">
        <f>$H$48</f>
        <v>0.02</v>
      </c>
      <c r="I852" s="621" t="s">
        <v>167</v>
      </c>
      <c r="J852" s="494" t="s">
        <v>216</v>
      </c>
      <c r="K852" s="500">
        <f>ROUND((K851*(F852+H852)),2)</f>
        <v>44762.16</v>
      </c>
      <c r="L852" s="494"/>
      <c r="M852" s="494"/>
      <c r="N852" s="494"/>
      <c r="Q852" s="595"/>
      <c r="R852" s="484"/>
      <c r="S852" s="595"/>
      <c r="T852" s="595"/>
      <c r="U852" s="595"/>
    </row>
    <row r="853" spans="2:21" ht="15">
      <c r="B853" s="951"/>
      <c r="C853" s="622" t="s">
        <v>222</v>
      </c>
      <c r="D853" s="623" t="s">
        <v>76</v>
      </c>
      <c r="E853" s="624"/>
      <c r="F853" s="624"/>
      <c r="G853" s="624"/>
      <c r="H853" s="625"/>
      <c r="I853" s="624"/>
      <c r="J853" s="626" t="s">
        <v>226</v>
      </c>
      <c r="K853" s="627">
        <f>SUM(K851:K852)</f>
        <v>417780.16000000003</v>
      </c>
      <c r="L853" s="620"/>
      <c r="M853" s="626"/>
      <c r="N853" s="635"/>
      <c r="Q853" s="595"/>
      <c r="R853" s="484"/>
      <c r="S853" s="595"/>
      <c r="T853" s="595"/>
      <c r="U853" s="595"/>
    </row>
    <row r="854" spans="2:21">
      <c r="Q854" s="595"/>
      <c r="R854" s="484"/>
      <c r="S854" s="595"/>
      <c r="T854" s="595"/>
      <c r="U854" s="595"/>
    </row>
    <row r="855" spans="2:21" s="298" customFormat="1" ht="14.1" customHeight="1">
      <c r="B855" s="951">
        <f>B837+1</f>
        <v>44</v>
      </c>
      <c r="C855" s="488"/>
      <c r="D855" s="506" t="s">
        <v>489</v>
      </c>
      <c r="E855" s="485"/>
      <c r="F855" s="485"/>
      <c r="G855" s="485"/>
      <c r="H855" s="488"/>
      <c r="I855" s="485"/>
      <c r="J855" s="485"/>
      <c r="K855" s="591" t="s">
        <v>490</v>
      </c>
      <c r="L855" s="591"/>
      <c r="M855" s="591"/>
      <c r="N855" s="591"/>
      <c r="O855" s="302" t="str">
        <f>D856</f>
        <v>m'</v>
      </c>
      <c r="P855" s="592">
        <f>K875</f>
        <v>128623.04000000001</v>
      </c>
      <c r="Q855" s="593">
        <f>L873</f>
        <v>0.47200501558663205</v>
      </c>
      <c r="R855" s="484">
        <f>N873</f>
        <v>54206</v>
      </c>
      <c r="S855" s="594"/>
      <c r="T855" s="484"/>
      <c r="U855" s="593"/>
    </row>
    <row r="856" spans="2:21" s="298" customFormat="1" ht="14.1" customHeight="1">
      <c r="B856" s="951"/>
      <c r="C856" s="488"/>
      <c r="D856" s="485" t="s">
        <v>32</v>
      </c>
      <c r="E856" s="485"/>
      <c r="F856" s="485"/>
      <c r="G856" s="485"/>
      <c r="H856" s="488"/>
      <c r="I856" s="485"/>
      <c r="J856" s="485"/>
      <c r="K856" s="485"/>
      <c r="L856" s="485"/>
      <c r="M856" s="485"/>
      <c r="N856" s="485"/>
      <c r="O856" s="302"/>
      <c r="Q856" s="595"/>
      <c r="R856" s="484"/>
      <c r="S856" s="595"/>
      <c r="T856" s="595"/>
      <c r="U856" s="595"/>
    </row>
    <row r="857" spans="2:21" s="298" customFormat="1" ht="14.1" customHeight="1">
      <c r="B857" s="951"/>
      <c r="C857" s="683"/>
      <c r="D857" s="965" t="s">
        <v>55</v>
      </c>
      <c r="E857" s="966"/>
      <c r="F857" s="684"/>
      <c r="G857" s="971" t="s">
        <v>56</v>
      </c>
      <c r="H857" s="971" t="s">
        <v>57</v>
      </c>
      <c r="I857" s="683" t="s">
        <v>58</v>
      </c>
      <c r="J857" s="683" t="s">
        <v>59</v>
      </c>
      <c r="K857" s="683" t="s">
        <v>102</v>
      </c>
      <c r="L857" s="596" t="s">
        <v>418</v>
      </c>
      <c r="M857" s="596" t="s">
        <v>419</v>
      </c>
      <c r="N857" s="596" t="s">
        <v>59</v>
      </c>
      <c r="O857" s="302"/>
      <c r="Q857" s="595"/>
      <c r="R857" s="484"/>
      <c r="S857" s="595"/>
      <c r="T857" s="595"/>
      <c r="U857" s="595"/>
    </row>
    <row r="858" spans="2:21" s="298" customFormat="1" ht="14.1" customHeight="1">
      <c r="B858" s="951"/>
      <c r="C858" s="655" t="s">
        <v>227</v>
      </c>
      <c r="D858" s="967"/>
      <c r="E858" s="968"/>
      <c r="F858" s="654"/>
      <c r="G858" s="972"/>
      <c r="H858" s="972"/>
      <c r="I858" s="655" t="s">
        <v>60</v>
      </c>
      <c r="J858" s="655" t="s">
        <v>61</v>
      </c>
      <c r="K858" s="655" t="s">
        <v>61</v>
      </c>
      <c r="L858" s="598" t="s">
        <v>421</v>
      </c>
      <c r="M858" s="598"/>
      <c r="N858" s="598" t="s">
        <v>423</v>
      </c>
      <c r="O858" s="302"/>
      <c r="Q858" s="595"/>
      <c r="R858" s="484"/>
      <c r="S858" s="595"/>
      <c r="T858" s="595"/>
      <c r="U858" s="595"/>
    </row>
    <row r="859" spans="2:21" s="298" customFormat="1" ht="14.1" customHeight="1">
      <c r="B859" s="951"/>
      <c r="C859" s="600"/>
      <c r="D859" s="969"/>
      <c r="E859" s="970"/>
      <c r="F859" s="601"/>
      <c r="G859" s="973"/>
      <c r="H859" s="973"/>
      <c r="I859" s="600" t="s">
        <v>61</v>
      </c>
      <c r="J859" s="602"/>
      <c r="K859" s="602"/>
      <c r="L859" s="602"/>
      <c r="M859" s="602"/>
      <c r="N859" s="600" t="s">
        <v>61</v>
      </c>
      <c r="O859" s="302"/>
      <c r="Q859" s="595"/>
      <c r="R859" s="484"/>
      <c r="S859" s="595"/>
      <c r="T859" s="595"/>
      <c r="U859" s="595"/>
    </row>
    <row r="860" spans="2:21" s="298" customFormat="1" ht="14.1" customHeight="1">
      <c r="B860" s="951"/>
      <c r="C860" s="683" t="s">
        <v>213</v>
      </c>
      <c r="D860" s="685" t="s">
        <v>62</v>
      </c>
      <c r="E860" s="686" t="s">
        <v>491</v>
      </c>
      <c r="F860" s="687"/>
      <c r="G860" s="688" t="s">
        <v>83</v>
      </c>
      <c r="H860" s="689">
        <v>1.05</v>
      </c>
      <c r="I860" s="521">
        <f>'UPH-TNG'!I133</f>
        <v>57500</v>
      </c>
      <c r="J860" s="522">
        <f>ROUND(H860*I860,2)</f>
        <v>60375</v>
      </c>
      <c r="K860" s="523"/>
      <c r="L860" s="501">
        <v>0</v>
      </c>
      <c r="M860" s="494"/>
      <c r="N860" s="491">
        <f t="shared" ref="N860:N872" si="59">L860*J860</f>
        <v>0</v>
      </c>
      <c r="O860" s="302"/>
      <c r="P860" s="298">
        <v>0.27479999999999999</v>
      </c>
      <c r="Q860" s="595"/>
      <c r="R860" s="484"/>
      <c r="S860" s="595"/>
      <c r="T860" s="595"/>
      <c r="U860" s="595"/>
    </row>
    <row r="861" spans="2:21" s="298" customFormat="1" ht="14.1" customHeight="1">
      <c r="B861" s="951"/>
      <c r="C861" s="655"/>
      <c r="D861" s="685"/>
      <c r="E861" s="686" t="s">
        <v>492</v>
      </c>
      <c r="F861" s="687"/>
      <c r="G861" s="688" t="s">
        <v>73</v>
      </c>
      <c r="H861" s="689">
        <v>1.4999999999999999E-2</v>
      </c>
      <c r="I861" s="521">
        <f>'UPH-TNG'!I103</f>
        <v>17400</v>
      </c>
      <c r="J861" s="522">
        <f>ROUND(H861*I861,2)</f>
        <v>261</v>
      </c>
      <c r="K861" s="524"/>
      <c r="L861" s="501">
        <v>0</v>
      </c>
      <c r="M861" s="494"/>
      <c r="N861" s="491">
        <f t="shared" si="59"/>
        <v>0</v>
      </c>
      <c r="O861" s="302"/>
      <c r="P861" s="298">
        <f>12/(2.4*1.2)</f>
        <v>4.166666666666667</v>
      </c>
      <c r="Q861" s="595"/>
      <c r="R861" s="484"/>
      <c r="S861" s="595"/>
      <c r="T861" s="595"/>
      <c r="U861" s="595"/>
    </row>
    <row r="862" spans="2:21" s="298" customFormat="1" ht="14.1" customHeight="1">
      <c r="B862" s="951"/>
      <c r="C862" s="655"/>
      <c r="D862" s="685"/>
      <c r="E862" s="686" t="s">
        <v>494</v>
      </c>
      <c r="F862" s="687"/>
      <c r="G862" s="688" t="s">
        <v>68</v>
      </c>
      <c r="H862" s="689">
        <v>8.0000000000000002E-3</v>
      </c>
      <c r="I862" s="525">
        <f>'UPH-TNG'!$I$74</f>
        <v>1753500</v>
      </c>
      <c r="J862" s="522">
        <f>ROUND(H862*I862,2)</f>
        <v>14028</v>
      </c>
      <c r="K862" s="524"/>
      <c r="L862" s="501">
        <v>1</v>
      </c>
      <c r="M862" s="494"/>
      <c r="N862" s="491">
        <f t="shared" si="59"/>
        <v>14028</v>
      </c>
      <c r="O862" s="302"/>
      <c r="Q862" s="595"/>
      <c r="R862" s="484"/>
      <c r="S862" s="595"/>
      <c r="T862" s="595"/>
      <c r="U862" s="595"/>
    </row>
    <row r="863" spans="2:21" s="298" customFormat="1" ht="14.1" customHeight="1">
      <c r="B863" s="951"/>
      <c r="C863" s="600"/>
      <c r="D863" s="685"/>
      <c r="E863" s="690"/>
      <c r="F863" s="691"/>
      <c r="G863" s="692"/>
      <c r="H863" s="693"/>
      <c r="I863" s="526"/>
      <c r="J863" s="527"/>
      <c r="K863" s="522">
        <f>SUM(J860:J862)</f>
        <v>74664</v>
      </c>
      <c r="L863" s="501"/>
      <c r="M863" s="494"/>
      <c r="N863" s="491">
        <f t="shared" si="59"/>
        <v>0</v>
      </c>
      <c r="O863" s="302"/>
      <c r="Q863" s="595"/>
      <c r="R863" s="484"/>
      <c r="S863" s="595"/>
      <c r="T863" s="595"/>
      <c r="U863" s="595"/>
    </row>
    <row r="864" spans="2:21" s="298" customFormat="1" ht="14.1" customHeight="1">
      <c r="B864" s="951"/>
      <c r="C864" s="683" t="s">
        <v>214</v>
      </c>
      <c r="D864" s="694" t="s">
        <v>63</v>
      </c>
      <c r="E864" s="686" t="s">
        <v>69</v>
      </c>
      <c r="F864" s="687"/>
      <c r="G864" s="688" t="s">
        <v>66</v>
      </c>
      <c r="H864" s="689">
        <v>0.2</v>
      </c>
      <c r="I864" s="491">
        <f>'UPH-TNG'!$I$15</f>
        <v>92000</v>
      </c>
      <c r="J864" s="522">
        <f>ROUND(H864*I864,2)</f>
        <v>18400</v>
      </c>
      <c r="K864" s="523"/>
      <c r="L864" s="493">
        <v>1</v>
      </c>
      <c r="M864" s="493" t="s">
        <v>422</v>
      </c>
      <c r="N864" s="491">
        <f t="shared" si="59"/>
        <v>18400</v>
      </c>
      <c r="O864" s="302"/>
      <c r="Q864" s="595"/>
      <c r="R864" s="484"/>
      <c r="S864" s="595"/>
      <c r="T864" s="595"/>
      <c r="U864" s="595"/>
    </row>
    <row r="865" spans="2:21" s="298" customFormat="1" ht="14.1" customHeight="1">
      <c r="B865" s="951"/>
      <c r="C865" s="655"/>
      <c r="D865" s="685"/>
      <c r="E865" s="686" t="s">
        <v>98</v>
      </c>
      <c r="F865" s="687"/>
      <c r="G865" s="688" t="s">
        <v>66</v>
      </c>
      <c r="H865" s="689">
        <v>0.2</v>
      </c>
      <c r="I865" s="491">
        <f>'UPH-TNG'!I24</f>
        <v>98000</v>
      </c>
      <c r="J865" s="522">
        <f>ROUND(H865*I865,2)</f>
        <v>19600</v>
      </c>
      <c r="K865" s="524"/>
      <c r="L865" s="493">
        <v>1</v>
      </c>
      <c r="M865" s="493" t="s">
        <v>422</v>
      </c>
      <c r="N865" s="491">
        <f t="shared" si="59"/>
        <v>19600</v>
      </c>
      <c r="O865" s="302"/>
      <c r="Q865" s="595"/>
      <c r="R865" s="484"/>
      <c r="S865" s="595"/>
      <c r="T865" s="595"/>
      <c r="U865" s="595"/>
    </row>
    <row r="866" spans="2:21" s="298" customFormat="1" ht="14.1" customHeight="1">
      <c r="B866" s="951"/>
      <c r="C866" s="655"/>
      <c r="D866" s="685"/>
      <c r="E866" s="686" t="s">
        <v>71</v>
      </c>
      <c r="F866" s="687"/>
      <c r="G866" s="688" t="s">
        <v>66</v>
      </c>
      <c r="H866" s="689">
        <v>0.02</v>
      </c>
      <c r="I866" s="494">
        <f>'UPH-TNG'!$I$17</f>
        <v>104000</v>
      </c>
      <c r="J866" s="522">
        <f>ROUND(H866*I866,2)</f>
        <v>2080</v>
      </c>
      <c r="K866" s="524"/>
      <c r="L866" s="493">
        <v>1</v>
      </c>
      <c r="M866" s="493" t="s">
        <v>422</v>
      </c>
      <c r="N866" s="491">
        <f t="shared" si="59"/>
        <v>2080</v>
      </c>
      <c r="O866" s="302"/>
      <c r="Q866" s="595"/>
      <c r="R866" s="484"/>
      <c r="S866" s="595"/>
      <c r="T866" s="595"/>
      <c r="U866" s="595"/>
    </row>
    <row r="867" spans="2:21" s="298" customFormat="1" ht="14.1" customHeight="1">
      <c r="B867" s="951"/>
      <c r="C867" s="655"/>
      <c r="D867" s="685"/>
      <c r="E867" s="686" t="s">
        <v>65</v>
      </c>
      <c r="F867" s="687"/>
      <c r="G867" s="688" t="s">
        <v>66</v>
      </c>
      <c r="H867" s="689">
        <v>1E-3</v>
      </c>
      <c r="I867" s="491">
        <f>'UPH-TNG'!$I$20</f>
        <v>98000</v>
      </c>
      <c r="J867" s="522">
        <f>ROUND(H867*I867,2)</f>
        <v>98</v>
      </c>
      <c r="K867" s="685"/>
      <c r="L867" s="493">
        <v>1</v>
      </c>
      <c r="M867" s="493" t="s">
        <v>422</v>
      </c>
      <c r="N867" s="491">
        <f t="shared" si="59"/>
        <v>98</v>
      </c>
      <c r="O867" s="302"/>
      <c r="Q867" s="595"/>
      <c r="R867" s="484"/>
      <c r="S867" s="595"/>
      <c r="T867" s="595"/>
      <c r="U867" s="595"/>
    </row>
    <row r="868" spans="2:21" s="298" customFormat="1" ht="14.1" customHeight="1">
      <c r="B868" s="951"/>
      <c r="C868" s="600"/>
      <c r="D868" s="602"/>
      <c r="E868" s="695"/>
      <c r="F868" s="691"/>
      <c r="G868" s="696"/>
      <c r="H868" s="697"/>
      <c r="I868" s="526"/>
      <c r="J868" s="527"/>
      <c r="K868" s="528">
        <f>SUM(J864:J867)</f>
        <v>40178</v>
      </c>
      <c r="L868" s="493"/>
      <c r="M868" s="494"/>
      <c r="N868" s="491">
        <f t="shared" si="59"/>
        <v>0</v>
      </c>
      <c r="O868" s="302"/>
      <c r="Q868" s="595"/>
      <c r="R868" s="484"/>
      <c r="S868" s="595"/>
      <c r="T868" s="595"/>
      <c r="U868" s="595"/>
    </row>
    <row r="869" spans="2:21" s="298" customFormat="1" ht="14.1" customHeight="1">
      <c r="B869" s="951"/>
      <c r="C869" s="655" t="s">
        <v>215</v>
      </c>
      <c r="D869" s="694" t="s">
        <v>212</v>
      </c>
      <c r="E869" s="687"/>
      <c r="F869" s="687"/>
      <c r="G869" s="698"/>
      <c r="H869" s="699"/>
      <c r="I869" s="700"/>
      <c r="J869" s="522"/>
      <c r="K869" s="523"/>
      <c r="L869" s="493"/>
      <c r="M869" s="494"/>
      <c r="N869" s="491">
        <f t="shared" si="59"/>
        <v>0</v>
      </c>
      <c r="O869" s="302"/>
      <c r="Q869" s="595"/>
      <c r="R869" s="484"/>
      <c r="S869" s="595"/>
      <c r="T869" s="595"/>
      <c r="U869" s="595"/>
    </row>
    <row r="870" spans="2:21" s="298" customFormat="1" ht="14.1" customHeight="1">
      <c r="B870" s="951"/>
      <c r="C870" s="655"/>
      <c r="D870" s="685"/>
      <c r="E870" s="695"/>
      <c r="F870" s="691"/>
      <c r="G870" s="696"/>
      <c r="H870" s="697"/>
      <c r="I870" s="701"/>
      <c r="J870" s="527"/>
      <c r="K870" s="523"/>
      <c r="L870" s="493"/>
      <c r="M870" s="494"/>
      <c r="N870" s="491">
        <f t="shared" si="59"/>
        <v>0</v>
      </c>
      <c r="O870" s="302"/>
      <c r="Q870" s="595"/>
      <c r="R870" s="484"/>
      <c r="S870" s="595"/>
      <c r="T870" s="595"/>
      <c r="U870" s="595"/>
    </row>
    <row r="871" spans="2:21" s="298" customFormat="1" ht="14.1" customHeight="1">
      <c r="B871" s="951"/>
      <c r="C871" s="655"/>
      <c r="D871" s="685"/>
      <c r="E871" s="695"/>
      <c r="F871" s="691"/>
      <c r="G871" s="696"/>
      <c r="H871" s="697"/>
      <c r="I871" s="701"/>
      <c r="J871" s="527"/>
      <c r="K871" s="523"/>
      <c r="L871" s="493"/>
      <c r="M871" s="494"/>
      <c r="N871" s="491">
        <f t="shared" si="59"/>
        <v>0</v>
      </c>
      <c r="O871" s="302"/>
      <c r="Q871" s="595"/>
      <c r="R871" s="484"/>
      <c r="S871" s="595"/>
      <c r="T871" s="595"/>
      <c r="U871" s="595"/>
    </row>
    <row r="872" spans="2:21" s="298" customFormat="1" ht="14.1" customHeight="1">
      <c r="B872" s="951"/>
      <c r="C872" s="600"/>
      <c r="D872" s="602"/>
      <c r="E872" s="695"/>
      <c r="F872" s="691"/>
      <c r="G872" s="696"/>
      <c r="H872" s="697"/>
      <c r="I872" s="701"/>
      <c r="J872" s="527"/>
      <c r="K872" s="528">
        <f>SUM(J869:J869)</f>
        <v>0</v>
      </c>
      <c r="L872" s="493"/>
      <c r="M872" s="494"/>
      <c r="N872" s="491">
        <f t="shared" si="59"/>
        <v>0</v>
      </c>
      <c r="O872" s="302"/>
      <c r="Q872" s="595"/>
      <c r="R872" s="484"/>
      <c r="S872" s="595"/>
      <c r="T872" s="595"/>
      <c r="U872" s="595"/>
    </row>
    <row r="873" spans="2:21" s="298" customFormat="1" ht="14.1" customHeight="1">
      <c r="B873" s="951"/>
      <c r="C873" s="698" t="s">
        <v>216</v>
      </c>
      <c r="D873" s="619" t="s">
        <v>219</v>
      </c>
      <c r="E873" s="691"/>
      <c r="F873" s="691"/>
      <c r="G873" s="696"/>
      <c r="H873" s="697"/>
      <c r="I873" s="701"/>
      <c r="J873" s="529" t="s">
        <v>220</v>
      </c>
      <c r="K873" s="528">
        <f>K863+K868+K872</f>
        <v>114842</v>
      </c>
      <c r="L873" s="620">
        <f>N873/K873</f>
        <v>0.47200501558663205</v>
      </c>
      <c r="M873" s="497"/>
      <c r="N873" s="498">
        <f>SUM(N860:N872)</f>
        <v>54206</v>
      </c>
      <c r="O873" s="302"/>
      <c r="Q873" s="595"/>
      <c r="R873" s="484"/>
      <c r="S873" s="595"/>
      <c r="T873" s="595"/>
      <c r="U873" s="595"/>
    </row>
    <row r="874" spans="2:21" s="298" customFormat="1" ht="14.1" customHeight="1">
      <c r="B874" s="951"/>
      <c r="C874" s="600" t="s">
        <v>217</v>
      </c>
      <c r="D874" s="619" t="s">
        <v>221</v>
      </c>
      <c r="E874" s="691"/>
      <c r="F874" s="499">
        <f>$F$48</f>
        <v>0.1</v>
      </c>
      <c r="G874" s="605" t="s">
        <v>168</v>
      </c>
      <c r="H874" s="499">
        <f>$H$48</f>
        <v>0.02</v>
      </c>
      <c r="I874" s="702" t="s">
        <v>167</v>
      </c>
      <c r="J874" s="528" t="s">
        <v>216</v>
      </c>
      <c r="K874" s="530">
        <f>ROUND((K873*(F874+H874)),2)</f>
        <v>13781.04</v>
      </c>
      <c r="L874" s="494"/>
      <c r="M874" s="494"/>
      <c r="N874" s="494"/>
      <c r="O874" s="302"/>
      <c r="Q874" s="595"/>
      <c r="R874" s="484"/>
      <c r="S874" s="595"/>
      <c r="T874" s="595"/>
      <c r="U874" s="595"/>
    </row>
    <row r="875" spans="2:21" s="298" customFormat="1" ht="14.1" customHeight="1">
      <c r="B875" s="951"/>
      <c r="C875" s="622" t="s">
        <v>222</v>
      </c>
      <c r="D875" s="703" t="s">
        <v>76</v>
      </c>
      <c r="E875" s="704"/>
      <c r="F875" s="704"/>
      <c r="G875" s="704"/>
      <c r="H875" s="705"/>
      <c r="I875" s="704"/>
      <c r="J875" s="706" t="s">
        <v>226</v>
      </c>
      <c r="K875" s="707">
        <f>SUM(K873:K874)</f>
        <v>128623.04000000001</v>
      </c>
      <c r="L875" s="620"/>
      <c r="M875" s="626"/>
      <c r="N875" s="635"/>
      <c r="O875" s="302"/>
      <c r="Q875" s="595"/>
      <c r="R875" s="484"/>
      <c r="S875" s="595"/>
      <c r="T875" s="595"/>
      <c r="U875" s="595"/>
    </row>
    <row r="876" spans="2:21">
      <c r="Q876" s="595"/>
      <c r="R876" s="484"/>
      <c r="S876" s="595"/>
      <c r="T876" s="595"/>
      <c r="U876" s="595"/>
    </row>
    <row r="877" spans="2:21" s="485" customFormat="1" ht="14.1" customHeight="1">
      <c r="B877" s="951">
        <f>B855+1</f>
        <v>45</v>
      </c>
      <c r="C877" s="488"/>
      <c r="D877" s="485" t="s">
        <v>488</v>
      </c>
      <c r="H877" s="488"/>
      <c r="K877" s="591" t="s">
        <v>268</v>
      </c>
      <c r="L877" s="591"/>
      <c r="M877" s="591"/>
      <c r="N877" s="591"/>
      <c r="O877" s="485" t="str">
        <f>D878</f>
        <v>m'</v>
      </c>
      <c r="P877" s="636">
        <f>K897</f>
        <v>40992.559999999998</v>
      </c>
      <c r="Q877" s="593">
        <f>L895</f>
        <v>0.75778672559118054</v>
      </c>
      <c r="R877" s="484">
        <f>N895</f>
        <v>27735.373050000002</v>
      </c>
      <c r="S877" s="594"/>
      <c r="T877" s="484"/>
      <c r="U877" s="593"/>
    </row>
    <row r="878" spans="2:21" s="485" customFormat="1" ht="14.1" customHeight="1">
      <c r="B878" s="951"/>
      <c r="C878" s="488"/>
      <c r="D878" s="485" t="s">
        <v>32</v>
      </c>
      <c r="H878" s="488"/>
      <c r="Q878" s="595"/>
      <c r="R878" s="484"/>
      <c r="S878" s="595"/>
      <c r="T878" s="595"/>
      <c r="U878" s="595"/>
    </row>
    <row r="879" spans="2:21" s="485" customFormat="1" ht="14.1" customHeight="1">
      <c r="B879" s="951"/>
      <c r="C879" s="488"/>
      <c r="H879" s="488"/>
      <c r="Q879" s="595"/>
      <c r="R879" s="484"/>
      <c r="S879" s="595"/>
      <c r="T879" s="595"/>
      <c r="U879" s="595"/>
    </row>
    <row r="880" spans="2:21" s="485" customFormat="1" ht="14.1" customHeight="1">
      <c r="B880" s="951"/>
      <c r="C880" s="596"/>
      <c r="D880" s="977" t="s">
        <v>55</v>
      </c>
      <c r="E880" s="978"/>
      <c r="F880" s="597"/>
      <c r="G880" s="981" t="s">
        <v>56</v>
      </c>
      <c r="H880" s="981" t="s">
        <v>57</v>
      </c>
      <c r="I880" s="596" t="s">
        <v>58</v>
      </c>
      <c r="J880" s="596" t="s">
        <v>59</v>
      </c>
      <c r="K880" s="596" t="s">
        <v>102</v>
      </c>
      <c r="L880" s="596" t="s">
        <v>418</v>
      </c>
      <c r="M880" s="596" t="s">
        <v>419</v>
      </c>
      <c r="N880" s="596" t="s">
        <v>59</v>
      </c>
      <c r="Q880" s="595"/>
      <c r="R880" s="484"/>
      <c r="S880" s="595"/>
      <c r="T880" s="595"/>
      <c r="U880" s="595"/>
    </row>
    <row r="881" spans="2:22" s="485" customFormat="1" ht="14.1" customHeight="1">
      <c r="B881" s="951"/>
      <c r="C881" s="598" t="s">
        <v>227</v>
      </c>
      <c r="D881" s="979"/>
      <c r="E881" s="980"/>
      <c r="F881" s="599"/>
      <c r="G881" s="982"/>
      <c r="H881" s="982"/>
      <c r="I881" s="598" t="s">
        <v>60</v>
      </c>
      <c r="J881" s="598" t="s">
        <v>61</v>
      </c>
      <c r="K881" s="598" t="s">
        <v>61</v>
      </c>
      <c r="L881" s="598" t="s">
        <v>421</v>
      </c>
      <c r="M881" s="598"/>
      <c r="N881" s="598" t="s">
        <v>423</v>
      </c>
      <c r="Q881" s="595"/>
      <c r="R881" s="484"/>
      <c r="S881" s="595"/>
      <c r="T881" s="595"/>
      <c r="U881" s="595"/>
    </row>
    <row r="882" spans="2:22" s="485" customFormat="1" ht="14.1" customHeight="1">
      <c r="B882" s="951"/>
      <c r="C882" s="600"/>
      <c r="D882" s="969"/>
      <c r="E882" s="970"/>
      <c r="F882" s="601"/>
      <c r="G882" s="973"/>
      <c r="H882" s="973"/>
      <c r="I882" s="600" t="s">
        <v>61</v>
      </c>
      <c r="J882" s="602"/>
      <c r="K882" s="602"/>
      <c r="L882" s="602"/>
      <c r="M882" s="602"/>
      <c r="N882" s="600" t="s">
        <v>61</v>
      </c>
      <c r="Q882" s="595"/>
      <c r="R882" s="484"/>
      <c r="S882" s="595"/>
      <c r="T882" s="595"/>
      <c r="U882" s="595"/>
    </row>
    <row r="883" spans="2:22" s="485" customFormat="1" ht="14.1" customHeight="1">
      <c r="B883" s="951"/>
      <c r="C883" s="596" t="s">
        <v>213</v>
      </c>
      <c r="D883" s="607" t="s">
        <v>62</v>
      </c>
      <c r="E883" s="615" t="s">
        <v>374</v>
      </c>
      <c r="F883" s="615"/>
      <c r="G883" s="605" t="s">
        <v>29</v>
      </c>
      <c r="H883" s="616">
        <v>1.7</v>
      </c>
      <c r="I883" s="491">
        <f>'UPH-TNG'!$I$123</f>
        <v>8500</v>
      </c>
      <c r="J883" s="491">
        <f>ROUND(H883*I883,2)</f>
        <v>14450</v>
      </c>
      <c r="K883" s="492"/>
      <c r="L883" s="501">
        <v>0.49569999999999997</v>
      </c>
      <c r="M883" s="494" t="s">
        <v>429</v>
      </c>
      <c r="N883" s="491">
        <f t="shared" ref="N883:N894" si="60">L883*J883</f>
        <v>7162.8649999999998</v>
      </c>
      <c r="P883" s="485">
        <f>'UPH-TNG'!I63</f>
        <v>120000</v>
      </c>
      <c r="Q883" s="595">
        <v>0.78610000000000002</v>
      </c>
      <c r="R883" s="484" t="s">
        <v>499</v>
      </c>
      <c r="S883" s="595"/>
      <c r="T883" s="595"/>
      <c r="U883" s="595"/>
    </row>
    <row r="884" spans="2:22" s="485" customFormat="1" ht="14.1" customHeight="1">
      <c r="B884" s="951"/>
      <c r="C884" s="607"/>
      <c r="D884" s="607"/>
      <c r="E884" s="615" t="s">
        <v>75</v>
      </c>
      <c r="F884" s="615"/>
      <c r="G884" s="605" t="s">
        <v>73</v>
      </c>
      <c r="H884" s="616">
        <v>1.1399999999999999</v>
      </c>
      <c r="I884" s="632">
        <f>'UPH-TNG'!$I$104</f>
        <v>1425</v>
      </c>
      <c r="J884" s="491">
        <f>ROUND(H884*I884,2)</f>
        <v>1624.5</v>
      </c>
      <c r="K884" s="496"/>
      <c r="L884" s="501">
        <f>$L$163</f>
        <v>0.90890000000000004</v>
      </c>
      <c r="M884" s="494" t="s">
        <v>429</v>
      </c>
      <c r="N884" s="491">
        <f t="shared" si="60"/>
        <v>1476.5080500000001</v>
      </c>
      <c r="P884" s="485">
        <f>0.1*0.6</f>
        <v>0.06</v>
      </c>
      <c r="Q884" s="595"/>
      <c r="R884" s="484"/>
      <c r="S884" s="595"/>
      <c r="T884" s="595"/>
      <c r="U884" s="595"/>
      <c r="V884" s="485">
        <f>0.6/0.1</f>
        <v>5.9999999999999991</v>
      </c>
    </row>
    <row r="885" spans="2:22" s="485" customFormat="1" ht="14.1" customHeight="1">
      <c r="B885" s="951"/>
      <c r="C885" s="607"/>
      <c r="D885" s="607"/>
      <c r="E885" s="615" t="s">
        <v>97</v>
      </c>
      <c r="F885" s="615"/>
      <c r="G885" s="605" t="s">
        <v>68</v>
      </c>
      <c r="H885" s="616">
        <v>3.0000000000000001E-3</v>
      </c>
      <c r="I885" s="632">
        <f>'UPH-TNG'!$I$107</f>
        <v>280000</v>
      </c>
      <c r="J885" s="491">
        <f>ROUND(H885*I885,2)</f>
        <v>840</v>
      </c>
      <c r="K885" s="607"/>
      <c r="L885" s="501">
        <v>1</v>
      </c>
      <c r="M885" s="494"/>
      <c r="N885" s="491">
        <f t="shared" si="60"/>
        <v>840</v>
      </c>
      <c r="P885" s="485">
        <f>0.6*0.6</f>
        <v>0.36</v>
      </c>
      <c r="Q885" s="595"/>
      <c r="R885" s="484"/>
      <c r="S885" s="595"/>
      <c r="T885" s="595"/>
      <c r="U885" s="595"/>
    </row>
    <row r="886" spans="2:22" s="485" customFormat="1" ht="14.1" customHeight="1">
      <c r="B886" s="951"/>
      <c r="C886" s="607"/>
      <c r="D886" s="607"/>
      <c r="E886" s="615" t="s">
        <v>101</v>
      </c>
      <c r="F886" s="615"/>
      <c r="G886" s="605" t="s">
        <v>73</v>
      </c>
      <c r="H886" s="616">
        <v>0.1</v>
      </c>
      <c r="I886" s="632">
        <f>'UPH-TNG'!$I$105</f>
        <v>14300</v>
      </c>
      <c r="J886" s="491">
        <f>ROUND(H886*I886,2)</f>
        <v>1430</v>
      </c>
      <c r="K886" s="602"/>
      <c r="L886" s="501">
        <v>0</v>
      </c>
      <c r="M886" s="494"/>
      <c r="N886" s="491">
        <f t="shared" si="60"/>
        <v>0</v>
      </c>
      <c r="P886" s="485">
        <f>1/P885</f>
        <v>2.7777777777777777</v>
      </c>
      <c r="Q886" s="595"/>
      <c r="R886" s="484"/>
      <c r="S886" s="595"/>
      <c r="T886" s="595"/>
      <c r="U886" s="595"/>
    </row>
    <row r="887" spans="2:22" s="485" customFormat="1" ht="14.1" customHeight="1">
      <c r="B887" s="951"/>
      <c r="C887" s="600"/>
      <c r="D887" s="607"/>
      <c r="E887" s="612"/>
      <c r="F887" s="613"/>
      <c r="G887" s="610"/>
      <c r="H887" s="614"/>
      <c r="I887" s="633"/>
      <c r="J887" s="495"/>
      <c r="K887" s="491">
        <f>SUM(J883:J886)</f>
        <v>18344.5</v>
      </c>
      <c r="L887" s="501"/>
      <c r="M887" s="494"/>
      <c r="N887" s="491">
        <f t="shared" si="60"/>
        <v>0</v>
      </c>
      <c r="P887" s="485">
        <f>P883/P886</f>
        <v>43200</v>
      </c>
      <c r="Q887" s="595"/>
      <c r="R887" s="484"/>
      <c r="S887" s="595"/>
      <c r="T887" s="595"/>
      <c r="U887" s="595"/>
    </row>
    <row r="888" spans="2:22" s="485" customFormat="1" ht="14.1" customHeight="1">
      <c r="B888" s="951"/>
      <c r="C888" s="596" t="s">
        <v>214</v>
      </c>
      <c r="D888" s="603" t="s">
        <v>63</v>
      </c>
      <c r="E888" s="615" t="s">
        <v>69</v>
      </c>
      <c r="F888" s="615"/>
      <c r="G888" s="605" t="s">
        <v>66</v>
      </c>
      <c r="H888" s="616">
        <v>0.09</v>
      </c>
      <c r="I888" s="632">
        <f>'UPH-TNG'!$I$15</f>
        <v>92000</v>
      </c>
      <c r="J888" s="491">
        <f>ROUND(H888*I888,2)</f>
        <v>8280</v>
      </c>
      <c r="K888" s="492"/>
      <c r="L888" s="493">
        <v>1</v>
      </c>
      <c r="M888" s="493" t="s">
        <v>422</v>
      </c>
      <c r="N888" s="491">
        <f t="shared" si="60"/>
        <v>8280</v>
      </c>
      <c r="P888" s="486">
        <f>P887/V884</f>
        <v>7200.0000000000009</v>
      </c>
      <c r="Q888" s="595"/>
      <c r="R888" s="484"/>
      <c r="S888" s="595"/>
      <c r="T888" s="595"/>
      <c r="U888" s="595"/>
    </row>
    <row r="889" spans="2:22" s="485" customFormat="1" ht="14.1" customHeight="1">
      <c r="B889" s="951"/>
      <c r="C889" s="607"/>
      <c r="D889" s="607"/>
      <c r="E889" s="615" t="s">
        <v>70</v>
      </c>
      <c r="F889" s="615"/>
      <c r="G889" s="605" t="s">
        <v>66</v>
      </c>
      <c r="H889" s="616">
        <v>0.09</v>
      </c>
      <c r="I889" s="632">
        <f>'UPH-TNG'!$I$21</f>
        <v>95000</v>
      </c>
      <c r="J889" s="491">
        <f>ROUND(H889*I889,2)</f>
        <v>8550</v>
      </c>
      <c r="K889" s="496"/>
      <c r="L889" s="493">
        <v>1</v>
      </c>
      <c r="M889" s="493" t="s">
        <v>422</v>
      </c>
      <c r="N889" s="491">
        <f t="shared" si="60"/>
        <v>8550</v>
      </c>
      <c r="Q889" s="595"/>
      <c r="R889" s="484"/>
      <c r="S889" s="595"/>
      <c r="T889" s="595"/>
      <c r="U889" s="595"/>
    </row>
    <row r="890" spans="2:22" s="485" customFormat="1" ht="14.1" customHeight="1">
      <c r="B890" s="951"/>
      <c r="C890" s="607"/>
      <c r="D890" s="607"/>
      <c r="E890" s="615" t="s">
        <v>71</v>
      </c>
      <c r="F890" s="615"/>
      <c r="G890" s="605" t="s">
        <v>66</v>
      </c>
      <c r="H890" s="616">
        <v>8.9999999999999993E-3</v>
      </c>
      <c r="I890" s="617">
        <f>'UPH-TNG'!$I$16</f>
        <v>104000</v>
      </c>
      <c r="J890" s="491">
        <f>ROUND(H890*I890,2)</f>
        <v>936</v>
      </c>
      <c r="K890" s="496"/>
      <c r="L890" s="493">
        <v>1</v>
      </c>
      <c r="M890" s="493" t="s">
        <v>422</v>
      </c>
      <c r="N890" s="491">
        <f t="shared" si="60"/>
        <v>936</v>
      </c>
      <c r="Q890" s="595"/>
      <c r="R890" s="484"/>
      <c r="S890" s="595"/>
      <c r="T890" s="595"/>
      <c r="U890" s="595"/>
    </row>
    <row r="891" spans="2:22" s="485" customFormat="1" ht="14.1" customHeight="1">
      <c r="B891" s="951"/>
      <c r="C891" s="607"/>
      <c r="D891" s="607"/>
      <c r="E891" s="615" t="s">
        <v>65</v>
      </c>
      <c r="F891" s="615"/>
      <c r="G891" s="605" t="s">
        <v>66</v>
      </c>
      <c r="H891" s="616">
        <v>5.0000000000000001E-3</v>
      </c>
      <c r="I891" s="632">
        <f>'UPH-TNG'!$I$20</f>
        <v>98000</v>
      </c>
      <c r="J891" s="491">
        <f>ROUND(H891*I891,2)</f>
        <v>490</v>
      </c>
      <c r="K891" s="607"/>
      <c r="L891" s="493">
        <v>1</v>
      </c>
      <c r="M891" s="493" t="s">
        <v>422</v>
      </c>
      <c r="N891" s="491">
        <f t="shared" si="60"/>
        <v>490</v>
      </c>
      <c r="Q891" s="595"/>
      <c r="R891" s="484"/>
      <c r="S891" s="595"/>
      <c r="T891" s="595"/>
      <c r="U891" s="595"/>
    </row>
    <row r="892" spans="2:22" s="485" customFormat="1" ht="14.1" customHeight="1">
      <c r="B892" s="951"/>
      <c r="C892" s="600"/>
      <c r="D892" s="602"/>
      <c r="E892" s="612"/>
      <c r="F892" s="613"/>
      <c r="G892" s="610"/>
      <c r="H892" s="614"/>
      <c r="I892" s="633"/>
      <c r="J892" s="495"/>
      <c r="K892" s="494">
        <f>SUM(J888:J891)</f>
        <v>18256</v>
      </c>
      <c r="L892" s="493"/>
      <c r="M892" s="494"/>
      <c r="N892" s="491">
        <f t="shared" si="60"/>
        <v>0</v>
      </c>
      <c r="Q892" s="595"/>
      <c r="R892" s="484"/>
      <c r="S892" s="595"/>
      <c r="T892" s="595"/>
      <c r="U892" s="595"/>
    </row>
    <row r="893" spans="2:22" s="485" customFormat="1" ht="14.1" customHeight="1">
      <c r="B893" s="951"/>
      <c r="C893" s="598" t="s">
        <v>215</v>
      </c>
      <c r="D893" s="603" t="s">
        <v>212</v>
      </c>
      <c r="E893" s="615"/>
      <c r="F893" s="615"/>
      <c r="G893" s="605"/>
      <c r="H893" s="616"/>
      <c r="I893" s="617"/>
      <c r="J893" s="491"/>
      <c r="K893" s="492"/>
      <c r="L893" s="493"/>
      <c r="M893" s="494"/>
      <c r="N893" s="491">
        <f t="shared" si="60"/>
        <v>0</v>
      </c>
      <c r="Q893" s="595"/>
      <c r="R893" s="484"/>
      <c r="S893" s="595"/>
      <c r="T893" s="595"/>
      <c r="U893" s="595"/>
    </row>
    <row r="894" spans="2:22" s="485" customFormat="1" ht="14.1" customHeight="1">
      <c r="B894" s="951"/>
      <c r="C894" s="602"/>
      <c r="D894" s="602"/>
      <c r="E894" s="612"/>
      <c r="F894" s="613"/>
      <c r="G894" s="610"/>
      <c r="H894" s="614"/>
      <c r="I894" s="618"/>
      <c r="J894" s="495"/>
      <c r="K894" s="494">
        <f>SUM(J893:J893)</f>
        <v>0</v>
      </c>
      <c r="L894" s="493"/>
      <c r="M894" s="494"/>
      <c r="N894" s="491">
        <f t="shared" si="60"/>
        <v>0</v>
      </c>
      <c r="Q894" s="595"/>
      <c r="R894" s="484"/>
      <c r="S894" s="595"/>
      <c r="T894" s="595"/>
      <c r="U894" s="595"/>
    </row>
    <row r="895" spans="2:22" s="485" customFormat="1" ht="14.1" customHeight="1">
      <c r="B895" s="951"/>
      <c r="C895" s="600" t="s">
        <v>216</v>
      </c>
      <c r="D895" s="619" t="s">
        <v>219</v>
      </c>
      <c r="E895" s="613"/>
      <c r="F895" s="613"/>
      <c r="G895" s="610"/>
      <c r="H895" s="614"/>
      <c r="I895" s="618"/>
      <c r="J895" s="497" t="s">
        <v>220</v>
      </c>
      <c r="K895" s="494">
        <f>K887+K892+K894</f>
        <v>36600.5</v>
      </c>
      <c r="L895" s="620">
        <f>N895/K895</f>
        <v>0.75778672559118054</v>
      </c>
      <c r="M895" s="497"/>
      <c r="N895" s="498">
        <f>SUM(N883:N894)</f>
        <v>27735.373050000002</v>
      </c>
      <c r="Q895" s="595"/>
      <c r="R895" s="484"/>
      <c r="S895" s="595"/>
      <c r="T895" s="595"/>
      <c r="U895" s="595"/>
    </row>
    <row r="896" spans="2:22" s="485" customFormat="1" ht="14.1" customHeight="1">
      <c r="B896" s="951"/>
      <c r="C896" s="600" t="s">
        <v>217</v>
      </c>
      <c r="D896" s="619" t="s">
        <v>221</v>
      </c>
      <c r="E896" s="613"/>
      <c r="F896" s="499">
        <f>$F$48</f>
        <v>0.1</v>
      </c>
      <c r="G896" s="605" t="s">
        <v>168</v>
      </c>
      <c r="H896" s="499">
        <f>$H$48</f>
        <v>0.02</v>
      </c>
      <c r="I896" s="621" t="s">
        <v>167</v>
      </c>
      <c r="J896" s="494" t="s">
        <v>216</v>
      </c>
      <c r="K896" s="500">
        <f>ROUND((K895*(F896+H896)),2)</f>
        <v>4392.0600000000004</v>
      </c>
      <c r="L896" s="494"/>
      <c r="M896" s="494"/>
      <c r="N896" s="494"/>
      <c r="Q896" s="595"/>
      <c r="R896" s="484"/>
      <c r="S896" s="595"/>
      <c r="T896" s="595"/>
      <c r="U896" s="595"/>
    </row>
    <row r="897" spans="2:22" s="485" customFormat="1" ht="14.1" customHeight="1">
      <c r="B897" s="951"/>
      <c r="C897" s="622" t="s">
        <v>222</v>
      </c>
      <c r="D897" s="623" t="s">
        <v>76</v>
      </c>
      <c r="E897" s="624"/>
      <c r="F897" s="624"/>
      <c r="G897" s="624"/>
      <c r="H897" s="625"/>
      <c r="I897" s="624"/>
      <c r="J897" s="626" t="s">
        <v>226</v>
      </c>
      <c r="K897" s="627">
        <f>SUM(K895:K896)</f>
        <v>40992.559999999998</v>
      </c>
      <c r="L897" s="620"/>
      <c r="M897" s="626"/>
      <c r="N897" s="635"/>
      <c r="Q897" s="595"/>
      <c r="R897" s="484"/>
      <c r="S897" s="595"/>
      <c r="T897" s="595"/>
      <c r="U897" s="595"/>
    </row>
    <row r="898" spans="2:22" s="485" customFormat="1" ht="14.1" customHeight="1">
      <c r="B898" s="948"/>
      <c r="H898" s="488"/>
      <c r="Q898" s="595"/>
      <c r="R898" s="484"/>
      <c r="S898" s="595"/>
      <c r="T898" s="595"/>
      <c r="U898" s="595"/>
    </row>
    <row r="899" spans="2:22" s="485" customFormat="1" ht="14.1" hidden="1" customHeight="1">
      <c r="B899" s="951">
        <f>B877+1</f>
        <v>46</v>
      </c>
      <c r="C899" s="488"/>
      <c r="D899" s="485" t="s">
        <v>609</v>
      </c>
      <c r="H899" s="488"/>
      <c r="K899" s="591" t="s">
        <v>268</v>
      </c>
      <c r="L899" s="591"/>
      <c r="M899" s="591"/>
      <c r="N899" s="591"/>
      <c r="O899" s="485" t="str">
        <f>D900</f>
        <v>m'</v>
      </c>
      <c r="P899" s="636">
        <f>K919</f>
        <v>62888.56</v>
      </c>
      <c r="Q899" s="593">
        <f>L917</f>
        <v>0.66653561499897596</v>
      </c>
      <c r="R899" s="484">
        <f>N917</f>
        <v>37426.30805</v>
      </c>
      <c r="S899" s="594"/>
      <c r="T899" s="484"/>
      <c r="U899" s="593"/>
    </row>
    <row r="900" spans="2:22" s="485" customFormat="1" ht="14.1" hidden="1" customHeight="1">
      <c r="B900" s="951"/>
      <c r="C900" s="488"/>
      <c r="D900" s="485" t="s">
        <v>32</v>
      </c>
      <c r="H900" s="488"/>
      <c r="Q900" s="595"/>
      <c r="R900" s="484"/>
      <c r="S900" s="595"/>
      <c r="T900" s="595"/>
      <c r="U900" s="595"/>
    </row>
    <row r="901" spans="2:22" s="485" customFormat="1" ht="14.1" hidden="1" customHeight="1">
      <c r="B901" s="951"/>
      <c r="C901" s="488"/>
      <c r="H901" s="488"/>
      <c r="Q901" s="595"/>
      <c r="R901" s="484"/>
      <c r="S901" s="595"/>
      <c r="T901" s="595"/>
      <c r="U901" s="595"/>
    </row>
    <row r="902" spans="2:22" s="485" customFormat="1" ht="14.1" hidden="1" customHeight="1">
      <c r="B902" s="951"/>
      <c r="C902" s="596"/>
      <c r="D902" s="977" t="s">
        <v>55</v>
      </c>
      <c r="E902" s="978"/>
      <c r="F902" s="597"/>
      <c r="G902" s="981" t="s">
        <v>56</v>
      </c>
      <c r="H902" s="981" t="s">
        <v>57</v>
      </c>
      <c r="I902" s="596" t="s">
        <v>58</v>
      </c>
      <c r="J902" s="596" t="s">
        <v>59</v>
      </c>
      <c r="K902" s="596" t="s">
        <v>102</v>
      </c>
      <c r="L902" s="596" t="s">
        <v>418</v>
      </c>
      <c r="M902" s="596" t="s">
        <v>419</v>
      </c>
      <c r="N902" s="596" t="s">
        <v>59</v>
      </c>
      <c r="Q902" s="595"/>
      <c r="R902" s="484"/>
      <c r="S902" s="595"/>
      <c r="T902" s="595"/>
      <c r="U902" s="595"/>
    </row>
    <row r="903" spans="2:22" s="485" customFormat="1" ht="14.1" hidden="1" customHeight="1">
      <c r="B903" s="951"/>
      <c r="C903" s="598" t="s">
        <v>227</v>
      </c>
      <c r="D903" s="979"/>
      <c r="E903" s="980"/>
      <c r="F903" s="599"/>
      <c r="G903" s="982"/>
      <c r="H903" s="982"/>
      <c r="I903" s="598" t="s">
        <v>60</v>
      </c>
      <c r="J903" s="598" t="s">
        <v>61</v>
      </c>
      <c r="K903" s="598" t="s">
        <v>61</v>
      </c>
      <c r="L903" s="598" t="s">
        <v>421</v>
      </c>
      <c r="M903" s="598"/>
      <c r="N903" s="598" t="s">
        <v>423</v>
      </c>
      <c r="Q903" s="595"/>
      <c r="R903" s="484"/>
      <c r="S903" s="595"/>
      <c r="T903" s="595"/>
      <c r="U903" s="595"/>
    </row>
    <row r="904" spans="2:22" s="485" customFormat="1" ht="14.1" hidden="1" customHeight="1">
      <c r="B904" s="951"/>
      <c r="C904" s="600"/>
      <c r="D904" s="969"/>
      <c r="E904" s="970"/>
      <c r="F904" s="601"/>
      <c r="G904" s="973"/>
      <c r="H904" s="973"/>
      <c r="I904" s="600" t="s">
        <v>61</v>
      </c>
      <c r="J904" s="602"/>
      <c r="K904" s="602"/>
      <c r="L904" s="602"/>
      <c r="M904" s="602"/>
      <c r="N904" s="600" t="s">
        <v>61</v>
      </c>
      <c r="Q904" s="595"/>
      <c r="R904" s="484"/>
      <c r="S904" s="595"/>
      <c r="T904" s="595"/>
      <c r="U904" s="595"/>
    </row>
    <row r="905" spans="2:22" s="485" customFormat="1" ht="14.1" hidden="1" customHeight="1">
      <c r="B905" s="951"/>
      <c r="C905" s="596" t="s">
        <v>213</v>
      </c>
      <c r="D905" s="607" t="s">
        <v>62</v>
      </c>
      <c r="E905" s="615" t="s">
        <v>610</v>
      </c>
      <c r="F905" s="615"/>
      <c r="G905" s="605" t="s">
        <v>29</v>
      </c>
      <c r="H905" s="616">
        <v>1.7</v>
      </c>
      <c r="I905" s="491">
        <f>'UPH-TNG'!I122</f>
        <v>20000</v>
      </c>
      <c r="J905" s="491">
        <f>ROUND(H905*I905,2)</f>
        <v>34000</v>
      </c>
      <c r="K905" s="492"/>
      <c r="L905" s="501">
        <v>0.49569999999999997</v>
      </c>
      <c r="M905" s="494" t="s">
        <v>429</v>
      </c>
      <c r="N905" s="491">
        <f t="shared" ref="N905:N916" si="61">L905*J905</f>
        <v>16853.8</v>
      </c>
      <c r="P905" s="485">
        <f>'UPH-TNG'!I86</f>
        <v>21500</v>
      </c>
      <c r="Q905" s="595">
        <v>0.78610000000000002</v>
      </c>
      <c r="R905" s="484" t="s">
        <v>499</v>
      </c>
      <c r="S905" s="595"/>
      <c r="T905" s="595"/>
      <c r="U905" s="595"/>
    </row>
    <row r="906" spans="2:22" s="485" customFormat="1" ht="14.1" hidden="1" customHeight="1">
      <c r="B906" s="951"/>
      <c r="C906" s="607"/>
      <c r="D906" s="607"/>
      <c r="E906" s="615" t="s">
        <v>75</v>
      </c>
      <c r="F906" s="615"/>
      <c r="G906" s="605" t="s">
        <v>73</v>
      </c>
      <c r="H906" s="616">
        <v>1.1399999999999999</v>
      </c>
      <c r="I906" s="632">
        <f>'UPH-TNG'!$I$104</f>
        <v>1425</v>
      </c>
      <c r="J906" s="491">
        <f>ROUND(H906*I906,2)</f>
        <v>1624.5</v>
      </c>
      <c r="K906" s="496"/>
      <c r="L906" s="501">
        <f>$L$163</f>
        <v>0.90890000000000004</v>
      </c>
      <c r="M906" s="494" t="s">
        <v>429</v>
      </c>
      <c r="N906" s="491">
        <f t="shared" si="61"/>
        <v>1476.5080500000001</v>
      </c>
      <c r="P906" s="485">
        <f>0.1*0.6</f>
        <v>0.06</v>
      </c>
      <c r="Q906" s="595"/>
      <c r="R906" s="484"/>
      <c r="S906" s="595"/>
      <c r="T906" s="595"/>
      <c r="U906" s="595"/>
      <c r="V906" s="485">
        <f>0.6/0.1</f>
        <v>5.9999999999999991</v>
      </c>
    </row>
    <row r="907" spans="2:22" s="485" customFormat="1" ht="14.1" hidden="1" customHeight="1">
      <c r="B907" s="951"/>
      <c r="C907" s="607"/>
      <c r="D907" s="607"/>
      <c r="E907" s="615" t="s">
        <v>97</v>
      </c>
      <c r="F907" s="615"/>
      <c r="G907" s="605" t="s">
        <v>68</v>
      </c>
      <c r="H907" s="616">
        <v>3.0000000000000001E-3</v>
      </c>
      <c r="I907" s="632">
        <f>'UPH-TNG'!$I$107</f>
        <v>280000</v>
      </c>
      <c r="J907" s="491">
        <f>ROUND(H907*I907,2)</f>
        <v>840</v>
      </c>
      <c r="K907" s="607"/>
      <c r="L907" s="501">
        <v>1</v>
      </c>
      <c r="M907" s="494"/>
      <c r="N907" s="491">
        <f t="shared" si="61"/>
        <v>840</v>
      </c>
      <c r="P907" s="485">
        <f>0.6*0.6</f>
        <v>0.36</v>
      </c>
      <c r="Q907" s="595"/>
      <c r="R907" s="484"/>
      <c r="S907" s="595"/>
      <c r="T907" s="595"/>
      <c r="U907" s="595"/>
    </row>
    <row r="908" spans="2:22" s="485" customFormat="1" ht="14.1" hidden="1" customHeight="1">
      <c r="B908" s="951"/>
      <c r="C908" s="607"/>
      <c r="D908" s="607"/>
      <c r="E908" s="615" t="s">
        <v>101</v>
      </c>
      <c r="F908" s="615"/>
      <c r="G908" s="605" t="s">
        <v>73</v>
      </c>
      <c r="H908" s="616">
        <v>0.1</v>
      </c>
      <c r="I908" s="632">
        <f>'UPH-TNG'!$I$105</f>
        <v>14300</v>
      </c>
      <c r="J908" s="491">
        <f>ROUND(H908*I908,2)</f>
        <v>1430</v>
      </c>
      <c r="K908" s="602"/>
      <c r="L908" s="501">
        <v>0</v>
      </c>
      <c r="M908" s="494"/>
      <c r="N908" s="491">
        <f t="shared" si="61"/>
        <v>0</v>
      </c>
      <c r="P908" s="485">
        <f>1/P907</f>
        <v>2.7777777777777777</v>
      </c>
      <c r="Q908" s="595"/>
      <c r="R908" s="484"/>
      <c r="S908" s="595"/>
      <c r="T908" s="595"/>
      <c r="U908" s="595"/>
    </row>
    <row r="909" spans="2:22" s="485" customFormat="1" ht="14.1" hidden="1" customHeight="1">
      <c r="B909" s="951"/>
      <c r="C909" s="600"/>
      <c r="D909" s="607"/>
      <c r="E909" s="612"/>
      <c r="F909" s="613"/>
      <c r="G909" s="610"/>
      <c r="H909" s="614"/>
      <c r="I909" s="633"/>
      <c r="J909" s="495"/>
      <c r="K909" s="491">
        <f>SUM(J905:J908)</f>
        <v>37894.5</v>
      </c>
      <c r="L909" s="501"/>
      <c r="M909" s="494"/>
      <c r="N909" s="491">
        <f t="shared" si="61"/>
        <v>0</v>
      </c>
      <c r="P909" s="485">
        <f>P905/P908</f>
        <v>7740</v>
      </c>
      <c r="Q909" s="595"/>
      <c r="R909" s="484"/>
      <c r="S909" s="595"/>
      <c r="T909" s="595"/>
      <c r="U909" s="595"/>
    </row>
    <row r="910" spans="2:22" s="485" customFormat="1" ht="14.1" hidden="1" customHeight="1">
      <c r="B910" s="951"/>
      <c r="C910" s="596" t="s">
        <v>214</v>
      </c>
      <c r="D910" s="603" t="s">
        <v>63</v>
      </c>
      <c r="E910" s="615" t="s">
        <v>69</v>
      </c>
      <c r="F910" s="615"/>
      <c r="G910" s="605" t="s">
        <v>66</v>
      </c>
      <c r="H910" s="616">
        <v>0.09</v>
      </c>
      <c r="I910" s="632">
        <f>'UPH-TNG'!$I$15</f>
        <v>92000</v>
      </c>
      <c r="J910" s="491">
        <f>ROUND(H910*I910,2)</f>
        <v>8280</v>
      </c>
      <c r="K910" s="492"/>
      <c r="L910" s="493">
        <v>1</v>
      </c>
      <c r="M910" s="493" t="s">
        <v>422</v>
      </c>
      <c r="N910" s="491">
        <f t="shared" si="61"/>
        <v>8280</v>
      </c>
      <c r="P910" s="486">
        <f>P909/V906</f>
        <v>1290.0000000000002</v>
      </c>
      <c r="Q910" s="595"/>
      <c r="R910" s="484"/>
      <c r="S910" s="595"/>
      <c r="T910" s="595"/>
      <c r="U910" s="595"/>
    </row>
    <row r="911" spans="2:22" s="485" customFormat="1" ht="14.1" hidden="1" customHeight="1">
      <c r="B911" s="951"/>
      <c r="C911" s="607"/>
      <c r="D911" s="607"/>
      <c r="E911" s="615" t="s">
        <v>70</v>
      </c>
      <c r="F911" s="615"/>
      <c r="G911" s="605" t="s">
        <v>66</v>
      </c>
      <c r="H911" s="616">
        <v>0.09</v>
      </c>
      <c r="I911" s="632">
        <f>'UPH-TNG'!$I$21</f>
        <v>95000</v>
      </c>
      <c r="J911" s="491">
        <f>ROUND(H911*I911,2)</f>
        <v>8550</v>
      </c>
      <c r="K911" s="496"/>
      <c r="L911" s="493">
        <v>1</v>
      </c>
      <c r="M911" s="493" t="s">
        <v>422</v>
      </c>
      <c r="N911" s="491">
        <f t="shared" si="61"/>
        <v>8550</v>
      </c>
      <c r="Q911" s="595"/>
      <c r="R911" s="484"/>
      <c r="S911" s="595"/>
      <c r="T911" s="595"/>
      <c r="U911" s="595"/>
    </row>
    <row r="912" spans="2:22" s="485" customFormat="1" ht="14.1" hidden="1" customHeight="1">
      <c r="B912" s="951"/>
      <c r="C912" s="607"/>
      <c r="D912" s="607"/>
      <c r="E912" s="615" t="s">
        <v>71</v>
      </c>
      <c r="F912" s="615"/>
      <c r="G912" s="605" t="s">
        <v>66</v>
      </c>
      <c r="H912" s="616">
        <v>8.9999999999999993E-3</v>
      </c>
      <c r="I912" s="617">
        <f>'UPH-TNG'!$I$16</f>
        <v>104000</v>
      </c>
      <c r="J912" s="491">
        <f>ROUND(H912*I912,2)</f>
        <v>936</v>
      </c>
      <c r="K912" s="496"/>
      <c r="L912" s="493">
        <v>1</v>
      </c>
      <c r="M912" s="493" t="s">
        <v>422</v>
      </c>
      <c r="N912" s="491">
        <f t="shared" si="61"/>
        <v>936</v>
      </c>
      <c r="Q912" s="595"/>
      <c r="R912" s="484"/>
      <c r="S912" s="595"/>
      <c r="T912" s="595"/>
      <c r="U912" s="595"/>
    </row>
    <row r="913" spans="2:21" s="485" customFormat="1" ht="14.1" hidden="1" customHeight="1">
      <c r="B913" s="951"/>
      <c r="C913" s="607"/>
      <c r="D913" s="607"/>
      <c r="E913" s="615" t="s">
        <v>65</v>
      </c>
      <c r="F913" s="615"/>
      <c r="G913" s="605" t="s">
        <v>66</v>
      </c>
      <c r="H913" s="616">
        <v>5.0000000000000001E-3</v>
      </c>
      <c r="I913" s="632">
        <f>'UPH-TNG'!$I$20</f>
        <v>98000</v>
      </c>
      <c r="J913" s="491">
        <f>ROUND(H913*I913,2)</f>
        <v>490</v>
      </c>
      <c r="K913" s="607"/>
      <c r="L913" s="493">
        <v>1</v>
      </c>
      <c r="M913" s="493" t="s">
        <v>422</v>
      </c>
      <c r="N913" s="491">
        <f t="shared" si="61"/>
        <v>490</v>
      </c>
      <c r="Q913" s="595"/>
      <c r="R913" s="484"/>
      <c r="S913" s="595"/>
      <c r="T913" s="595"/>
      <c r="U913" s="595"/>
    </row>
    <row r="914" spans="2:21" s="485" customFormat="1" ht="14.1" hidden="1" customHeight="1">
      <c r="B914" s="951"/>
      <c r="C914" s="600"/>
      <c r="D914" s="602"/>
      <c r="E914" s="612"/>
      <c r="F914" s="613"/>
      <c r="G914" s="610"/>
      <c r="H914" s="614"/>
      <c r="I914" s="633"/>
      <c r="J914" s="495"/>
      <c r="K914" s="494">
        <f>SUM(J910:J913)</f>
        <v>18256</v>
      </c>
      <c r="L914" s="493"/>
      <c r="M914" s="494"/>
      <c r="N914" s="491">
        <f t="shared" si="61"/>
        <v>0</v>
      </c>
      <c r="Q914" s="595"/>
      <c r="R914" s="484"/>
      <c r="S914" s="595"/>
      <c r="T914" s="595"/>
      <c r="U914" s="595"/>
    </row>
    <row r="915" spans="2:21" s="485" customFormat="1" ht="14.1" hidden="1" customHeight="1">
      <c r="B915" s="951"/>
      <c r="C915" s="598" t="s">
        <v>215</v>
      </c>
      <c r="D915" s="603" t="s">
        <v>212</v>
      </c>
      <c r="E915" s="615"/>
      <c r="F915" s="615"/>
      <c r="G915" s="605"/>
      <c r="H915" s="616"/>
      <c r="I915" s="617"/>
      <c r="J915" s="491"/>
      <c r="K915" s="492"/>
      <c r="L915" s="493"/>
      <c r="M915" s="494"/>
      <c r="N915" s="491">
        <f t="shared" si="61"/>
        <v>0</v>
      </c>
      <c r="Q915" s="595"/>
      <c r="R915" s="484"/>
      <c r="S915" s="595"/>
      <c r="T915" s="595"/>
      <c r="U915" s="595"/>
    </row>
    <row r="916" spans="2:21" s="485" customFormat="1" ht="14.1" hidden="1" customHeight="1">
      <c r="B916" s="951"/>
      <c r="C916" s="602"/>
      <c r="D916" s="602"/>
      <c r="E916" s="612"/>
      <c r="F916" s="613"/>
      <c r="G916" s="610"/>
      <c r="H916" s="614"/>
      <c r="I916" s="618"/>
      <c r="J916" s="495"/>
      <c r="K916" s="494">
        <f>SUM(J915:J915)</f>
        <v>0</v>
      </c>
      <c r="L916" s="493"/>
      <c r="M916" s="494"/>
      <c r="N916" s="491">
        <f t="shared" si="61"/>
        <v>0</v>
      </c>
      <c r="Q916" s="595"/>
      <c r="R916" s="484"/>
      <c r="S916" s="595"/>
      <c r="T916" s="595"/>
      <c r="U916" s="595"/>
    </row>
    <row r="917" spans="2:21" s="485" customFormat="1" ht="14.1" hidden="1" customHeight="1">
      <c r="B917" s="951"/>
      <c r="C917" s="600" t="s">
        <v>216</v>
      </c>
      <c r="D917" s="619" t="s">
        <v>219</v>
      </c>
      <c r="E917" s="613"/>
      <c r="F917" s="613"/>
      <c r="G917" s="610"/>
      <c r="H917" s="614"/>
      <c r="I917" s="618"/>
      <c r="J917" s="497" t="s">
        <v>220</v>
      </c>
      <c r="K917" s="494">
        <f>K909+K914+K916</f>
        <v>56150.5</v>
      </c>
      <c r="L917" s="620">
        <f>N917/K917</f>
        <v>0.66653561499897596</v>
      </c>
      <c r="M917" s="497"/>
      <c r="N917" s="498">
        <f>SUM(N905:N916)</f>
        <v>37426.30805</v>
      </c>
      <c r="Q917" s="595"/>
      <c r="R917" s="484"/>
      <c r="S917" s="595"/>
      <c r="T917" s="595"/>
      <c r="U917" s="595"/>
    </row>
    <row r="918" spans="2:21" s="485" customFormat="1" ht="14.1" hidden="1" customHeight="1">
      <c r="B918" s="951"/>
      <c r="C918" s="600" t="s">
        <v>217</v>
      </c>
      <c r="D918" s="619" t="s">
        <v>221</v>
      </c>
      <c r="E918" s="613"/>
      <c r="F918" s="499">
        <f>$F$48</f>
        <v>0.1</v>
      </c>
      <c r="G918" s="605" t="s">
        <v>168</v>
      </c>
      <c r="H918" s="499">
        <f>$H$48</f>
        <v>0.02</v>
      </c>
      <c r="I918" s="621" t="s">
        <v>167</v>
      </c>
      <c r="J918" s="494" t="s">
        <v>216</v>
      </c>
      <c r="K918" s="500">
        <f>ROUND((K917*(F918+H918)),2)</f>
        <v>6738.06</v>
      </c>
      <c r="L918" s="494"/>
      <c r="M918" s="494"/>
      <c r="N918" s="494"/>
      <c r="Q918" s="595"/>
      <c r="R918" s="484"/>
      <c r="S918" s="595"/>
      <c r="T918" s="595"/>
      <c r="U918" s="595"/>
    </row>
    <row r="919" spans="2:21" s="485" customFormat="1" ht="14.1" hidden="1" customHeight="1">
      <c r="B919" s="951"/>
      <c r="C919" s="622" t="s">
        <v>222</v>
      </c>
      <c r="D919" s="623" t="s">
        <v>76</v>
      </c>
      <c r="E919" s="624"/>
      <c r="F919" s="624"/>
      <c r="G919" s="624"/>
      <c r="H919" s="625"/>
      <c r="I919" s="624"/>
      <c r="J919" s="626" t="s">
        <v>226</v>
      </c>
      <c r="K919" s="627">
        <f>SUM(K917:K918)</f>
        <v>62888.56</v>
      </c>
      <c r="L919" s="620"/>
      <c r="M919" s="626"/>
      <c r="N919" s="635"/>
      <c r="Q919" s="595"/>
      <c r="R919" s="484"/>
      <c r="S919" s="595"/>
      <c r="T919" s="595"/>
      <c r="U919" s="595"/>
    </row>
    <row r="920" spans="2:21" s="485" customFormat="1" ht="14.1" hidden="1" customHeight="1">
      <c r="B920" s="948"/>
      <c r="H920" s="488"/>
      <c r="Q920" s="595"/>
      <c r="R920" s="484"/>
      <c r="S920" s="595"/>
      <c r="T920" s="595"/>
      <c r="U920" s="595"/>
    </row>
    <row r="921" spans="2:21" s="485" customFormat="1" ht="14.1" hidden="1" customHeight="1">
      <c r="B921" s="951">
        <f>B899+1</f>
        <v>47</v>
      </c>
      <c r="C921" s="488"/>
      <c r="D921" s="485" t="s">
        <v>589</v>
      </c>
      <c r="H921" s="488"/>
      <c r="K921" s="591" t="s">
        <v>246</v>
      </c>
      <c r="L921" s="591"/>
      <c r="M921" s="591"/>
      <c r="N921" s="591"/>
      <c r="O921" s="485" t="str">
        <f>D922</f>
        <v>m2</v>
      </c>
      <c r="P921" s="636">
        <f>K941</f>
        <v>210282.23999999999</v>
      </c>
      <c r="Q921" s="593">
        <f>L939</f>
        <v>0.8835316001960033</v>
      </c>
      <c r="R921" s="484">
        <f>N939</f>
        <v>165884.82500000001</v>
      </c>
      <c r="S921" s="594"/>
      <c r="T921" s="484"/>
      <c r="U921" s="593"/>
    </row>
    <row r="922" spans="2:21" s="485" customFormat="1" ht="14.1" hidden="1" customHeight="1">
      <c r="B922" s="951"/>
      <c r="C922" s="488"/>
      <c r="D922" s="485" t="s">
        <v>100</v>
      </c>
      <c r="H922" s="488"/>
      <c r="Q922" s="595"/>
      <c r="R922" s="484"/>
      <c r="S922" s="595"/>
      <c r="T922" s="595"/>
      <c r="U922" s="595"/>
    </row>
    <row r="923" spans="2:21" s="485" customFormat="1" ht="14.1" hidden="1" customHeight="1">
      <c r="B923" s="951"/>
      <c r="C923" s="488"/>
      <c r="H923" s="488"/>
      <c r="Q923" s="595"/>
      <c r="R923" s="484"/>
      <c r="S923" s="595"/>
      <c r="T923" s="595"/>
      <c r="U923" s="595"/>
    </row>
    <row r="924" spans="2:21" s="485" customFormat="1" ht="14.1" hidden="1" customHeight="1">
      <c r="B924" s="951"/>
      <c r="C924" s="596"/>
      <c r="D924" s="977" t="s">
        <v>55</v>
      </c>
      <c r="E924" s="978"/>
      <c r="F924" s="597"/>
      <c r="G924" s="981" t="s">
        <v>56</v>
      </c>
      <c r="H924" s="981" t="s">
        <v>57</v>
      </c>
      <c r="I924" s="596" t="s">
        <v>58</v>
      </c>
      <c r="J924" s="596" t="s">
        <v>59</v>
      </c>
      <c r="K924" s="596" t="s">
        <v>102</v>
      </c>
      <c r="L924" s="596" t="s">
        <v>418</v>
      </c>
      <c r="M924" s="596" t="s">
        <v>419</v>
      </c>
      <c r="N924" s="596" t="s">
        <v>59</v>
      </c>
      <c r="Q924" s="595"/>
      <c r="R924" s="484"/>
      <c r="S924" s="595"/>
      <c r="T924" s="595"/>
      <c r="U924" s="595"/>
    </row>
    <row r="925" spans="2:21" s="485" customFormat="1" ht="14.1" hidden="1" customHeight="1">
      <c r="B925" s="951"/>
      <c r="C925" s="598" t="s">
        <v>227</v>
      </c>
      <c r="D925" s="979"/>
      <c r="E925" s="980"/>
      <c r="F925" s="599"/>
      <c r="G925" s="982"/>
      <c r="H925" s="982"/>
      <c r="I925" s="598" t="s">
        <v>60</v>
      </c>
      <c r="J925" s="598" t="s">
        <v>61</v>
      </c>
      <c r="K925" s="598" t="s">
        <v>61</v>
      </c>
      <c r="L925" s="598" t="s">
        <v>421</v>
      </c>
      <c r="M925" s="598"/>
      <c r="N925" s="598" t="s">
        <v>423</v>
      </c>
      <c r="Q925" s="595"/>
      <c r="R925" s="484"/>
      <c r="S925" s="595"/>
      <c r="T925" s="595"/>
      <c r="U925" s="595"/>
    </row>
    <row r="926" spans="2:21" s="485" customFormat="1" ht="14.1" hidden="1" customHeight="1">
      <c r="B926" s="951"/>
      <c r="C926" s="600"/>
      <c r="D926" s="969"/>
      <c r="E926" s="970"/>
      <c r="F926" s="601"/>
      <c r="G926" s="973"/>
      <c r="H926" s="973"/>
      <c r="I926" s="600" t="s">
        <v>61</v>
      </c>
      <c r="J926" s="602"/>
      <c r="K926" s="602"/>
      <c r="L926" s="602"/>
      <c r="M926" s="602"/>
      <c r="N926" s="600" t="s">
        <v>61</v>
      </c>
      <c r="Q926" s="595"/>
      <c r="R926" s="484"/>
      <c r="S926" s="595"/>
      <c r="T926" s="595"/>
      <c r="U926" s="595"/>
    </row>
    <row r="927" spans="2:21" s="485" customFormat="1" ht="14.1" hidden="1" customHeight="1">
      <c r="B927" s="951"/>
      <c r="C927" s="596" t="s">
        <v>213</v>
      </c>
      <c r="D927" s="607" t="s">
        <v>62</v>
      </c>
      <c r="E927" s="615" t="s">
        <v>209</v>
      </c>
      <c r="F927" s="615"/>
      <c r="G927" s="605" t="s">
        <v>292</v>
      </c>
      <c r="H927" s="616">
        <v>1.05</v>
      </c>
      <c r="I927" s="632">
        <f>'UPH-TNG'!$I$79</f>
        <v>75000</v>
      </c>
      <c r="J927" s="491">
        <f>ROUND(H927*I927,2)</f>
        <v>78750</v>
      </c>
      <c r="K927" s="492"/>
      <c r="L927" s="501">
        <v>0.8296</v>
      </c>
      <c r="M927" s="494" t="s">
        <v>429</v>
      </c>
      <c r="N927" s="491">
        <f t="shared" ref="N927:N938" si="62">L927*J927</f>
        <v>65331</v>
      </c>
      <c r="Q927" s="595"/>
      <c r="R927" s="484"/>
      <c r="S927" s="595"/>
      <c r="T927" s="595"/>
      <c r="U927" s="595"/>
    </row>
    <row r="928" spans="2:21" s="485" customFormat="1" ht="14.1" hidden="1" customHeight="1">
      <c r="B928" s="951"/>
      <c r="C928" s="607"/>
      <c r="D928" s="607"/>
      <c r="E928" s="615" t="s">
        <v>75</v>
      </c>
      <c r="F928" s="615"/>
      <c r="G928" s="605" t="s">
        <v>73</v>
      </c>
      <c r="H928" s="616">
        <v>10</v>
      </c>
      <c r="I928" s="632">
        <f>'UPH-TNG'!$I$104</f>
        <v>1425</v>
      </c>
      <c r="J928" s="491">
        <f>ROUND(H928*I928,2)</f>
        <v>14250</v>
      </c>
      <c r="K928" s="496"/>
      <c r="L928" s="501">
        <f>$L$163</f>
        <v>0.90890000000000004</v>
      </c>
      <c r="M928" s="494" t="s">
        <v>429</v>
      </c>
      <c r="N928" s="491">
        <f t="shared" si="62"/>
        <v>12951.825000000001</v>
      </c>
      <c r="Q928" s="595"/>
      <c r="R928" s="484"/>
      <c r="S928" s="595"/>
      <c r="T928" s="595"/>
      <c r="U928" s="595"/>
    </row>
    <row r="929" spans="2:21" s="485" customFormat="1" ht="14.1" hidden="1" customHeight="1">
      <c r="B929" s="951"/>
      <c r="C929" s="607"/>
      <c r="D929" s="607"/>
      <c r="E929" s="615" t="s">
        <v>97</v>
      </c>
      <c r="F929" s="615"/>
      <c r="G929" s="605" t="s">
        <v>68</v>
      </c>
      <c r="H929" s="616">
        <v>4.4999999999999998E-2</v>
      </c>
      <c r="I929" s="632">
        <f>'UPH-TNG'!$I$107</f>
        <v>280000</v>
      </c>
      <c r="J929" s="491">
        <f>ROUND(H929*I929,2)</f>
        <v>12600</v>
      </c>
      <c r="K929" s="607"/>
      <c r="L929" s="502">
        <v>1</v>
      </c>
      <c r="M929" s="494"/>
      <c r="N929" s="491">
        <f t="shared" si="62"/>
        <v>12600</v>
      </c>
      <c r="Q929" s="595"/>
      <c r="R929" s="484"/>
      <c r="S929" s="595"/>
      <c r="T929" s="595"/>
      <c r="U929" s="595"/>
    </row>
    <row r="930" spans="2:21" s="485" customFormat="1" ht="14.1" hidden="1" customHeight="1">
      <c r="B930" s="951"/>
      <c r="C930" s="598"/>
      <c r="D930" s="607"/>
      <c r="E930" s="615" t="s">
        <v>101</v>
      </c>
      <c r="F930" s="615"/>
      <c r="G930" s="605" t="s">
        <v>73</v>
      </c>
      <c r="H930" s="616">
        <v>0.5</v>
      </c>
      <c r="I930" s="632">
        <f>'UPH-TNG'!$I$105</f>
        <v>14300</v>
      </c>
      <c r="J930" s="491">
        <f>ROUND(H930*I930,2)</f>
        <v>7150</v>
      </c>
      <c r="K930" s="602"/>
      <c r="L930" s="502">
        <v>0</v>
      </c>
      <c r="M930" s="494"/>
      <c r="N930" s="491">
        <f t="shared" si="62"/>
        <v>0</v>
      </c>
      <c r="Q930" s="595"/>
      <c r="R930" s="484"/>
      <c r="S930" s="595"/>
      <c r="T930" s="595"/>
      <c r="U930" s="595"/>
    </row>
    <row r="931" spans="2:21" s="485" customFormat="1" ht="14.1" hidden="1" customHeight="1">
      <c r="B931" s="951"/>
      <c r="C931" s="600"/>
      <c r="D931" s="607"/>
      <c r="E931" s="612"/>
      <c r="F931" s="613"/>
      <c r="G931" s="610"/>
      <c r="H931" s="614"/>
      <c r="I931" s="633"/>
      <c r="J931" s="495"/>
      <c r="K931" s="491">
        <f>SUM(J927:J930)</f>
        <v>112750</v>
      </c>
      <c r="L931" s="502"/>
      <c r="M931" s="494"/>
      <c r="N931" s="491">
        <f t="shared" si="62"/>
        <v>0</v>
      </c>
      <c r="Q931" s="595"/>
      <c r="R931" s="484"/>
      <c r="S931" s="595"/>
      <c r="T931" s="595"/>
      <c r="U931" s="595"/>
    </row>
    <row r="932" spans="2:21" s="485" customFormat="1" ht="14.1" hidden="1" customHeight="1">
      <c r="B932" s="951"/>
      <c r="C932" s="596" t="s">
        <v>214</v>
      </c>
      <c r="D932" s="603" t="s">
        <v>63</v>
      </c>
      <c r="E932" s="615" t="s">
        <v>69</v>
      </c>
      <c r="F932" s="615"/>
      <c r="G932" s="605" t="s">
        <v>66</v>
      </c>
      <c r="H932" s="616">
        <v>0.5</v>
      </c>
      <c r="I932" s="632">
        <f>'UPH-TNG'!$I$15</f>
        <v>92000</v>
      </c>
      <c r="J932" s="491">
        <f>ROUND(H932*I932,2)</f>
        <v>46000</v>
      </c>
      <c r="K932" s="492"/>
      <c r="L932" s="493">
        <v>1</v>
      </c>
      <c r="M932" s="493" t="s">
        <v>422</v>
      </c>
      <c r="N932" s="491">
        <f t="shared" si="62"/>
        <v>46000</v>
      </c>
      <c r="Q932" s="595"/>
      <c r="R932" s="484"/>
      <c r="S932" s="595"/>
      <c r="T932" s="595"/>
      <c r="U932" s="595"/>
    </row>
    <row r="933" spans="2:21" s="485" customFormat="1" ht="14.1" hidden="1" customHeight="1">
      <c r="B933" s="951"/>
      <c r="C933" s="607"/>
      <c r="D933" s="607"/>
      <c r="E933" s="615" t="s">
        <v>70</v>
      </c>
      <c r="F933" s="615"/>
      <c r="G933" s="605" t="s">
        <v>66</v>
      </c>
      <c r="H933" s="616">
        <v>0.25</v>
      </c>
      <c r="I933" s="632">
        <f>'UPH-TNG'!$I$21</f>
        <v>95000</v>
      </c>
      <c r="J933" s="491">
        <f>ROUND(H933*I933,2)</f>
        <v>23750</v>
      </c>
      <c r="K933" s="496"/>
      <c r="L933" s="493">
        <v>1</v>
      </c>
      <c r="M933" s="493" t="s">
        <v>422</v>
      </c>
      <c r="N933" s="491">
        <f t="shared" si="62"/>
        <v>23750</v>
      </c>
      <c r="Q933" s="595"/>
      <c r="R933" s="484"/>
      <c r="S933" s="595"/>
      <c r="T933" s="595"/>
      <c r="U933" s="595"/>
    </row>
    <row r="934" spans="2:21" s="485" customFormat="1" ht="14.1" hidden="1" customHeight="1">
      <c r="B934" s="951"/>
      <c r="C934" s="607"/>
      <c r="D934" s="607"/>
      <c r="E934" s="615" t="s">
        <v>71</v>
      </c>
      <c r="F934" s="615"/>
      <c r="G934" s="605" t="s">
        <v>66</v>
      </c>
      <c r="H934" s="616">
        <v>2.5999999999999999E-2</v>
      </c>
      <c r="I934" s="617">
        <f>'UPH-TNG'!$I$16</f>
        <v>104000</v>
      </c>
      <c r="J934" s="491">
        <f>ROUND(H934*I934,2)</f>
        <v>2704</v>
      </c>
      <c r="K934" s="496"/>
      <c r="L934" s="493">
        <v>1</v>
      </c>
      <c r="M934" s="493" t="s">
        <v>422</v>
      </c>
      <c r="N934" s="491">
        <f t="shared" si="62"/>
        <v>2704</v>
      </c>
      <c r="Q934" s="595"/>
      <c r="R934" s="484"/>
      <c r="S934" s="595"/>
      <c r="T934" s="595"/>
      <c r="U934" s="595"/>
    </row>
    <row r="935" spans="2:21" s="485" customFormat="1" ht="14.1" hidden="1" customHeight="1">
      <c r="B935" s="951"/>
      <c r="C935" s="607"/>
      <c r="D935" s="607"/>
      <c r="E935" s="615" t="s">
        <v>65</v>
      </c>
      <c r="F935" s="615"/>
      <c r="G935" s="605" t="s">
        <v>66</v>
      </c>
      <c r="H935" s="616">
        <v>2.5999999999999999E-2</v>
      </c>
      <c r="I935" s="632">
        <f>'UPH-TNG'!$I$20</f>
        <v>98000</v>
      </c>
      <c r="J935" s="491">
        <f>ROUND(H935*I935,2)</f>
        <v>2548</v>
      </c>
      <c r="K935" s="607"/>
      <c r="L935" s="493">
        <v>1</v>
      </c>
      <c r="M935" s="493" t="s">
        <v>422</v>
      </c>
      <c r="N935" s="491">
        <f t="shared" si="62"/>
        <v>2548</v>
      </c>
      <c r="Q935" s="595"/>
      <c r="R935" s="484"/>
      <c r="S935" s="595"/>
      <c r="T935" s="595"/>
      <c r="U935" s="595"/>
    </row>
    <row r="936" spans="2:21" s="485" customFormat="1" ht="14.1" hidden="1" customHeight="1">
      <c r="B936" s="951"/>
      <c r="C936" s="600"/>
      <c r="D936" s="602"/>
      <c r="E936" s="612"/>
      <c r="F936" s="613"/>
      <c r="G936" s="610"/>
      <c r="H936" s="614"/>
      <c r="I936" s="633"/>
      <c r="J936" s="495"/>
      <c r="K936" s="494">
        <f>SUM(J932:J935)</f>
        <v>75002</v>
      </c>
      <c r="L936" s="502"/>
      <c r="M936" s="494"/>
      <c r="N936" s="491">
        <f t="shared" si="62"/>
        <v>0</v>
      </c>
      <c r="Q936" s="595"/>
      <c r="R936" s="484"/>
      <c r="S936" s="595"/>
      <c r="T936" s="595"/>
      <c r="U936" s="595"/>
    </row>
    <row r="937" spans="2:21" s="485" customFormat="1" ht="14.1" hidden="1" customHeight="1">
      <c r="B937" s="951"/>
      <c r="C937" s="598" t="s">
        <v>215</v>
      </c>
      <c r="D937" s="603" t="s">
        <v>212</v>
      </c>
      <c r="E937" s="615"/>
      <c r="F937" s="615"/>
      <c r="G937" s="605"/>
      <c r="H937" s="616"/>
      <c r="I937" s="617"/>
      <c r="J937" s="491"/>
      <c r="K937" s="492"/>
      <c r="L937" s="493"/>
      <c r="M937" s="494"/>
      <c r="N937" s="491">
        <f t="shared" si="62"/>
        <v>0</v>
      </c>
      <c r="Q937" s="595"/>
      <c r="R937" s="484"/>
      <c r="S937" s="595"/>
      <c r="T937" s="595"/>
      <c r="U937" s="595"/>
    </row>
    <row r="938" spans="2:21" s="485" customFormat="1" ht="14.1" hidden="1" customHeight="1">
      <c r="B938" s="951"/>
      <c r="C938" s="602"/>
      <c r="D938" s="602"/>
      <c r="E938" s="612"/>
      <c r="F938" s="613"/>
      <c r="G938" s="610"/>
      <c r="H938" s="614"/>
      <c r="I938" s="618"/>
      <c r="J938" s="495"/>
      <c r="K938" s="494">
        <f>SUM(J937:J937)</f>
        <v>0</v>
      </c>
      <c r="L938" s="493"/>
      <c r="M938" s="494"/>
      <c r="N938" s="491">
        <f t="shared" si="62"/>
        <v>0</v>
      </c>
      <c r="Q938" s="595"/>
      <c r="R938" s="484"/>
      <c r="S938" s="595"/>
      <c r="T938" s="595"/>
      <c r="U938" s="595"/>
    </row>
    <row r="939" spans="2:21" s="485" customFormat="1" ht="14.1" hidden="1" customHeight="1">
      <c r="B939" s="951"/>
      <c r="C939" s="600" t="s">
        <v>216</v>
      </c>
      <c r="D939" s="619" t="s">
        <v>219</v>
      </c>
      <c r="E939" s="613"/>
      <c r="F939" s="613"/>
      <c r="G939" s="610"/>
      <c r="H939" s="614"/>
      <c r="I939" s="618"/>
      <c r="J939" s="497" t="s">
        <v>220</v>
      </c>
      <c r="K939" s="494">
        <f>K931+K936+K938</f>
        <v>187752</v>
      </c>
      <c r="L939" s="620">
        <f>N939/K939</f>
        <v>0.8835316001960033</v>
      </c>
      <c r="M939" s="497"/>
      <c r="N939" s="498">
        <f>SUM(N927:N938)</f>
        <v>165884.82500000001</v>
      </c>
      <c r="Q939" s="595"/>
      <c r="R939" s="484"/>
      <c r="S939" s="595"/>
      <c r="T939" s="595"/>
      <c r="U939" s="595"/>
    </row>
    <row r="940" spans="2:21" s="485" customFormat="1" ht="14.1" hidden="1" customHeight="1">
      <c r="B940" s="951"/>
      <c r="C940" s="600" t="s">
        <v>217</v>
      </c>
      <c r="D940" s="619" t="s">
        <v>221</v>
      </c>
      <c r="E940" s="613"/>
      <c r="F940" s="499">
        <f>$F$48</f>
        <v>0.1</v>
      </c>
      <c r="G940" s="605" t="s">
        <v>168</v>
      </c>
      <c r="H940" s="499">
        <f>$H$48</f>
        <v>0.02</v>
      </c>
      <c r="I940" s="621" t="s">
        <v>167</v>
      </c>
      <c r="J940" s="494" t="s">
        <v>216</v>
      </c>
      <c r="K940" s="500">
        <f>ROUND((K939*(F940+H940)),2)</f>
        <v>22530.240000000002</v>
      </c>
      <c r="L940" s="494"/>
      <c r="M940" s="494"/>
      <c r="N940" s="494"/>
      <c r="Q940" s="595"/>
      <c r="R940" s="484"/>
      <c r="S940" s="595"/>
      <c r="T940" s="595"/>
      <c r="U940" s="595"/>
    </row>
    <row r="941" spans="2:21" s="485" customFormat="1" ht="14.1" hidden="1" customHeight="1">
      <c r="B941" s="951"/>
      <c r="C941" s="622" t="s">
        <v>222</v>
      </c>
      <c r="D941" s="623" t="s">
        <v>76</v>
      </c>
      <c r="E941" s="624"/>
      <c r="F941" s="624"/>
      <c r="G941" s="624"/>
      <c r="H941" s="625"/>
      <c r="I941" s="624"/>
      <c r="J941" s="626" t="s">
        <v>226</v>
      </c>
      <c r="K941" s="627">
        <f>SUM(K939:K940)</f>
        <v>210282.23999999999</v>
      </c>
      <c r="L941" s="620"/>
      <c r="M941" s="626"/>
      <c r="N941" s="635"/>
      <c r="Q941" s="595"/>
      <c r="R941" s="484"/>
      <c r="S941" s="595"/>
      <c r="T941" s="595"/>
      <c r="U941" s="595"/>
    </row>
    <row r="942" spans="2:21" hidden="1">
      <c r="Q942" s="595"/>
      <c r="R942" s="484"/>
      <c r="S942" s="595"/>
      <c r="T942" s="595"/>
      <c r="U942" s="595"/>
    </row>
    <row r="943" spans="2:21" ht="14.1" hidden="1" customHeight="1">
      <c r="B943" s="951">
        <f>B921+1</f>
        <v>48</v>
      </c>
      <c r="C943" s="488"/>
      <c r="D943" s="485" t="s">
        <v>555</v>
      </c>
      <c r="E943" s="485"/>
      <c r="F943" s="485"/>
      <c r="G943" s="485"/>
      <c r="H943" s="488"/>
      <c r="I943" s="485"/>
      <c r="J943" s="485"/>
      <c r="K943" s="591" t="s">
        <v>239</v>
      </c>
      <c r="L943" s="591"/>
      <c r="M943" s="591"/>
      <c r="N943" s="591"/>
      <c r="O943" s="506" t="str">
        <f>D944</f>
        <v>m2</v>
      </c>
      <c r="P943" s="682">
        <f>K962</f>
        <v>216079.35999999999</v>
      </c>
      <c r="Q943" s="593">
        <f>L960</f>
        <v>0.90718874450572229</v>
      </c>
      <c r="R943" s="484">
        <f>N960</f>
        <v>175022.11009999999</v>
      </c>
      <c r="S943" s="594"/>
      <c r="T943" s="484"/>
      <c r="U943" s="593"/>
    </row>
    <row r="944" spans="2:21" ht="14.1" hidden="1" customHeight="1">
      <c r="B944" s="951"/>
      <c r="C944" s="488"/>
      <c r="D944" s="485" t="s">
        <v>100</v>
      </c>
      <c r="E944" s="485"/>
      <c r="F944" s="485"/>
      <c r="G944" s="485"/>
      <c r="H944" s="488"/>
      <c r="I944" s="485"/>
      <c r="J944" s="485"/>
      <c r="K944" s="485"/>
      <c r="L944" s="485"/>
      <c r="M944" s="485"/>
      <c r="N944" s="485"/>
      <c r="Q944" s="595"/>
      <c r="R944" s="484"/>
      <c r="S944" s="595"/>
      <c r="T944" s="595"/>
      <c r="U944" s="595"/>
    </row>
    <row r="945" spans="2:22" ht="14.1" hidden="1" customHeight="1">
      <c r="B945" s="951"/>
      <c r="C945" s="596"/>
      <c r="D945" s="975" t="s">
        <v>55</v>
      </c>
      <c r="E945" s="976"/>
      <c r="F945" s="597"/>
      <c r="G945" s="974" t="s">
        <v>56</v>
      </c>
      <c r="H945" s="974" t="s">
        <v>57</v>
      </c>
      <c r="I945" s="596" t="s">
        <v>58</v>
      </c>
      <c r="J945" s="596" t="s">
        <v>59</v>
      </c>
      <c r="K945" s="596" t="s">
        <v>102</v>
      </c>
      <c r="L945" s="596" t="s">
        <v>418</v>
      </c>
      <c r="M945" s="596" t="s">
        <v>419</v>
      </c>
      <c r="N945" s="596" t="s">
        <v>59</v>
      </c>
      <c r="Q945" s="595"/>
      <c r="R945" s="484"/>
      <c r="S945" s="595"/>
      <c r="T945" s="595"/>
      <c r="U945" s="595"/>
    </row>
    <row r="946" spans="2:22" ht="14.1" hidden="1" customHeight="1">
      <c r="B946" s="951"/>
      <c r="C946" s="598" t="s">
        <v>227</v>
      </c>
      <c r="D946" s="967"/>
      <c r="E946" s="968"/>
      <c r="F946" s="599"/>
      <c r="G946" s="972"/>
      <c r="H946" s="972"/>
      <c r="I946" s="598" t="s">
        <v>60</v>
      </c>
      <c r="J946" s="598" t="s">
        <v>61</v>
      </c>
      <c r="K946" s="598" t="s">
        <v>61</v>
      </c>
      <c r="L946" s="598" t="s">
        <v>421</v>
      </c>
      <c r="M946" s="598"/>
      <c r="N946" s="598" t="s">
        <v>423</v>
      </c>
      <c r="P946" s="506">
        <f>0.4*0.4</f>
        <v>0.16000000000000003</v>
      </c>
      <c r="Q946" s="595">
        <f>1/P946</f>
        <v>6.2499999999999991</v>
      </c>
      <c r="R946" s="484"/>
      <c r="S946" s="595"/>
      <c r="T946" s="595"/>
      <c r="U946" s="595"/>
    </row>
    <row r="947" spans="2:22" ht="14.1" hidden="1" customHeight="1">
      <c r="B947" s="951"/>
      <c r="C947" s="600"/>
      <c r="D947" s="969"/>
      <c r="E947" s="970"/>
      <c r="F947" s="601"/>
      <c r="G947" s="973"/>
      <c r="H947" s="973"/>
      <c r="I947" s="600" t="s">
        <v>61</v>
      </c>
      <c r="J947" s="602"/>
      <c r="K947" s="602"/>
      <c r="L947" s="602"/>
      <c r="M947" s="602"/>
      <c r="N947" s="600" t="s">
        <v>61</v>
      </c>
      <c r="P947" s="506">
        <f>1/P948</f>
        <v>2.7777777777777777</v>
      </c>
      <c r="Q947" s="595"/>
      <c r="R947" s="484"/>
      <c r="S947" s="595"/>
      <c r="T947" s="595"/>
      <c r="U947" s="595"/>
    </row>
    <row r="948" spans="2:22" ht="14.1" hidden="1" customHeight="1">
      <c r="B948" s="951"/>
      <c r="C948" s="596" t="s">
        <v>213</v>
      </c>
      <c r="D948" s="607" t="s">
        <v>62</v>
      </c>
      <c r="E948" s="615" t="s">
        <v>556</v>
      </c>
      <c r="F948" s="615"/>
      <c r="G948" s="605" t="s">
        <v>29</v>
      </c>
      <c r="H948" s="616">
        <v>6.56</v>
      </c>
      <c r="I948" s="632">
        <f>'UPH-TNG'!I78/6.25</f>
        <v>13600</v>
      </c>
      <c r="J948" s="491">
        <f>ROUND(H948*I948,2)</f>
        <v>89216</v>
      </c>
      <c r="K948" s="492"/>
      <c r="L948" s="501">
        <v>0.83760000000000001</v>
      </c>
      <c r="M948" s="494" t="s">
        <v>429</v>
      </c>
      <c r="N948" s="491">
        <f t="shared" ref="N948:N959" si="63">L948*J948</f>
        <v>74727.321599999996</v>
      </c>
      <c r="P948" s="506">
        <f>0.6*0.6</f>
        <v>0.36</v>
      </c>
      <c r="Q948" s="595">
        <v>2.9460000000000002</v>
      </c>
      <c r="R948" s="531">
        <f>0.6*0.6</f>
        <v>0.36</v>
      </c>
      <c r="S948" s="595"/>
      <c r="T948" s="595"/>
      <c r="U948" s="595"/>
      <c r="V948" s="506">
        <f>1/P948</f>
        <v>2.7777777777777777</v>
      </c>
    </row>
    <row r="949" spans="2:22" ht="14.1" hidden="1" customHeight="1">
      <c r="B949" s="951"/>
      <c r="C949" s="607"/>
      <c r="D949" s="607"/>
      <c r="E949" s="615" t="s">
        <v>75</v>
      </c>
      <c r="F949" s="615"/>
      <c r="G949" s="605" t="s">
        <v>73</v>
      </c>
      <c r="H949" s="616">
        <v>9.8000000000000007</v>
      </c>
      <c r="I949" s="632">
        <f>'UPH-TNG'!$I$104</f>
        <v>1425</v>
      </c>
      <c r="J949" s="491">
        <f>ROUND(H949*I949,2)</f>
        <v>13965</v>
      </c>
      <c r="K949" s="496"/>
      <c r="L949" s="501">
        <f>$L$163</f>
        <v>0.90890000000000004</v>
      </c>
      <c r="M949" s="494" t="s">
        <v>429</v>
      </c>
      <c r="N949" s="491">
        <f t="shared" si="63"/>
        <v>12692.788500000001</v>
      </c>
      <c r="P949" s="506">
        <v>1.44</v>
      </c>
      <c r="Q949" s="595">
        <v>9.3000000000000007</v>
      </c>
      <c r="R949" s="484"/>
      <c r="S949" s="595"/>
      <c r="T949" s="595"/>
      <c r="U949" s="595"/>
      <c r="V949" s="506">
        <v>1.05</v>
      </c>
    </row>
    <row r="950" spans="2:22" ht="14.1" hidden="1" customHeight="1">
      <c r="B950" s="951"/>
      <c r="C950" s="607"/>
      <c r="D950" s="607"/>
      <c r="E950" s="615" t="s">
        <v>97</v>
      </c>
      <c r="F950" s="615"/>
      <c r="G950" s="605" t="s">
        <v>68</v>
      </c>
      <c r="H950" s="616">
        <v>4.4999999999999998E-2</v>
      </c>
      <c r="I950" s="632">
        <f>'UPH-TNG'!$I$107</f>
        <v>280000</v>
      </c>
      <c r="J950" s="491">
        <f>ROUND(H950*I950,2)</f>
        <v>12600</v>
      </c>
      <c r="K950" s="607"/>
      <c r="L950" s="502">
        <v>1</v>
      </c>
      <c r="M950" s="494"/>
      <c r="N950" s="491">
        <f t="shared" si="63"/>
        <v>12600</v>
      </c>
      <c r="P950" s="682">
        <f>P949*J948</f>
        <v>128471.03999999999</v>
      </c>
      <c r="Q950" s="595">
        <v>1.7999999999999999E-2</v>
      </c>
      <c r="R950" s="484"/>
      <c r="S950" s="595"/>
      <c r="T950" s="595"/>
      <c r="U950" s="595"/>
      <c r="V950" s="506">
        <f>V948*V949</f>
        <v>2.9166666666666665</v>
      </c>
    </row>
    <row r="951" spans="2:22" ht="14.1" hidden="1" customHeight="1">
      <c r="B951" s="951"/>
      <c r="C951" s="598"/>
      <c r="D951" s="607"/>
      <c r="E951" s="615" t="s">
        <v>101</v>
      </c>
      <c r="F951" s="615"/>
      <c r="G951" s="605" t="s">
        <v>73</v>
      </c>
      <c r="H951" s="616">
        <v>0.15</v>
      </c>
      <c r="I951" s="632">
        <f>'UPH-TNG'!$I$105</f>
        <v>14300</v>
      </c>
      <c r="J951" s="491">
        <f>ROUND(H951*I951,2)</f>
        <v>2145</v>
      </c>
      <c r="K951" s="602"/>
      <c r="L951" s="502">
        <v>0</v>
      </c>
      <c r="M951" s="494"/>
      <c r="N951" s="491">
        <f t="shared" si="63"/>
        <v>0</v>
      </c>
      <c r="Q951" s="595">
        <v>0.15</v>
      </c>
      <c r="R951" s="484"/>
      <c r="S951" s="595"/>
      <c r="T951" s="595"/>
      <c r="U951" s="595"/>
    </row>
    <row r="952" spans="2:22" ht="14.1" hidden="1" customHeight="1">
      <c r="B952" s="951"/>
      <c r="C952" s="600"/>
      <c r="D952" s="607"/>
      <c r="E952" s="612"/>
      <c r="F952" s="613"/>
      <c r="G952" s="610"/>
      <c r="H952" s="614"/>
      <c r="I952" s="633"/>
      <c r="J952" s="495"/>
      <c r="K952" s="491">
        <f>SUM(J948:J951)</f>
        <v>117926</v>
      </c>
      <c r="L952" s="502"/>
      <c r="M952" s="494"/>
      <c r="N952" s="491">
        <f t="shared" si="63"/>
        <v>0</v>
      </c>
      <c r="Q952" s="595"/>
      <c r="R952" s="484"/>
      <c r="S952" s="595"/>
      <c r="T952" s="595"/>
      <c r="U952" s="595"/>
    </row>
    <row r="953" spans="2:22" ht="14.1" hidden="1" customHeight="1">
      <c r="B953" s="951"/>
      <c r="C953" s="596" t="s">
        <v>214</v>
      </c>
      <c r="D953" s="603" t="s">
        <v>63</v>
      </c>
      <c r="E953" s="615" t="s">
        <v>69</v>
      </c>
      <c r="F953" s="615"/>
      <c r="G953" s="605" t="s">
        <v>66</v>
      </c>
      <c r="H953" s="616">
        <v>0.5</v>
      </c>
      <c r="I953" s="632">
        <f>'UPH-TNG'!$I$15</f>
        <v>92000</v>
      </c>
      <c r="J953" s="491">
        <f>ROUND(H953*I953,2)</f>
        <v>46000</v>
      </c>
      <c r="K953" s="492"/>
      <c r="L953" s="493">
        <v>1</v>
      </c>
      <c r="M953" s="493" t="s">
        <v>422</v>
      </c>
      <c r="N953" s="491">
        <f t="shared" si="63"/>
        <v>46000</v>
      </c>
      <c r="Q953" s="595">
        <v>0.45</v>
      </c>
      <c r="R953" s="484"/>
      <c r="S953" s="595"/>
      <c r="T953" s="595"/>
      <c r="U953" s="595"/>
    </row>
    <row r="954" spans="2:22" ht="14.1" hidden="1" customHeight="1">
      <c r="B954" s="951"/>
      <c r="C954" s="607"/>
      <c r="D954" s="607"/>
      <c r="E954" s="615" t="s">
        <v>70</v>
      </c>
      <c r="F954" s="615"/>
      <c r="G954" s="605" t="s">
        <v>66</v>
      </c>
      <c r="H954" s="616">
        <v>0.25</v>
      </c>
      <c r="I954" s="632">
        <f>'UPH-TNG'!$I$21</f>
        <v>95000</v>
      </c>
      <c r="J954" s="491">
        <f>ROUND(H954*I954,2)</f>
        <v>23750</v>
      </c>
      <c r="K954" s="496"/>
      <c r="L954" s="493">
        <v>1</v>
      </c>
      <c r="M954" s="493" t="s">
        <v>422</v>
      </c>
      <c r="N954" s="491">
        <f t="shared" si="63"/>
        <v>23750</v>
      </c>
      <c r="Q954" s="595">
        <v>0.45</v>
      </c>
      <c r="R954" s="484"/>
      <c r="S954" s="595"/>
      <c r="T954" s="595"/>
      <c r="U954" s="595"/>
    </row>
    <row r="955" spans="2:22" ht="14.1" hidden="1" customHeight="1">
      <c r="B955" s="951"/>
      <c r="C955" s="607"/>
      <c r="D955" s="607"/>
      <c r="E955" s="615" t="s">
        <v>71</v>
      </c>
      <c r="F955" s="615"/>
      <c r="G955" s="605" t="s">
        <v>66</v>
      </c>
      <c r="H955" s="616">
        <v>2.5999999999999999E-2</v>
      </c>
      <c r="I955" s="617">
        <f>'UPH-TNG'!$I$16</f>
        <v>104000</v>
      </c>
      <c r="J955" s="491">
        <f>ROUND(H955*I955,2)</f>
        <v>2704</v>
      </c>
      <c r="K955" s="496"/>
      <c r="L955" s="493">
        <v>1</v>
      </c>
      <c r="M955" s="493" t="s">
        <v>422</v>
      </c>
      <c r="N955" s="491">
        <f t="shared" si="63"/>
        <v>2704</v>
      </c>
      <c r="Q955" s="595">
        <v>4.4999999999999998E-2</v>
      </c>
      <c r="R955" s="484"/>
      <c r="S955" s="595"/>
      <c r="T955" s="595"/>
      <c r="U955" s="595"/>
    </row>
    <row r="956" spans="2:22" ht="14.1" hidden="1" customHeight="1">
      <c r="B956" s="951"/>
      <c r="C956" s="607"/>
      <c r="D956" s="607"/>
      <c r="E956" s="615" t="s">
        <v>65</v>
      </c>
      <c r="F956" s="615"/>
      <c r="G956" s="605" t="s">
        <v>66</v>
      </c>
      <c r="H956" s="616">
        <v>2.5999999999999999E-2</v>
      </c>
      <c r="I956" s="632">
        <f>'UPH-TNG'!$I$20</f>
        <v>98000</v>
      </c>
      <c r="J956" s="491">
        <f>ROUND(H956*I956,2)</f>
        <v>2548</v>
      </c>
      <c r="K956" s="607"/>
      <c r="L956" s="493">
        <v>1</v>
      </c>
      <c r="M956" s="493" t="s">
        <v>422</v>
      </c>
      <c r="N956" s="491">
        <f t="shared" si="63"/>
        <v>2548</v>
      </c>
      <c r="Q956" s="595">
        <v>4.4999999999999998E-2</v>
      </c>
      <c r="R956" s="484"/>
      <c r="S956" s="595"/>
      <c r="T956" s="595"/>
      <c r="U956" s="595"/>
    </row>
    <row r="957" spans="2:22" ht="14.1" hidden="1" customHeight="1">
      <c r="B957" s="951"/>
      <c r="C957" s="600"/>
      <c r="D957" s="602"/>
      <c r="E957" s="612"/>
      <c r="F957" s="613"/>
      <c r="G957" s="610"/>
      <c r="H957" s="614"/>
      <c r="I957" s="633"/>
      <c r="J957" s="495"/>
      <c r="K957" s="494">
        <f>SUM(J953:J956)</f>
        <v>75002</v>
      </c>
      <c r="L957" s="493"/>
      <c r="M957" s="494"/>
      <c r="N957" s="491">
        <f t="shared" si="63"/>
        <v>0</v>
      </c>
      <c r="Q957" s="595"/>
      <c r="R957" s="484"/>
      <c r="S957" s="595"/>
      <c r="T957" s="595"/>
      <c r="U957" s="595"/>
    </row>
    <row r="958" spans="2:22" ht="14.1" hidden="1" customHeight="1">
      <c r="B958" s="951"/>
      <c r="C958" s="598" t="s">
        <v>215</v>
      </c>
      <c r="D958" s="603" t="s">
        <v>212</v>
      </c>
      <c r="E958" s="615"/>
      <c r="F958" s="615"/>
      <c r="G958" s="605"/>
      <c r="H958" s="616"/>
      <c r="I958" s="617"/>
      <c r="J958" s="491"/>
      <c r="K958" s="492"/>
      <c r="L958" s="493"/>
      <c r="M958" s="494"/>
      <c r="N958" s="491">
        <f t="shared" si="63"/>
        <v>0</v>
      </c>
      <c r="Q958" s="595"/>
      <c r="R958" s="484"/>
      <c r="S958" s="595"/>
      <c r="T958" s="595"/>
      <c r="U958" s="595"/>
    </row>
    <row r="959" spans="2:22" ht="14.1" hidden="1" customHeight="1">
      <c r="B959" s="951"/>
      <c r="C959" s="602"/>
      <c r="D959" s="602"/>
      <c r="E959" s="612"/>
      <c r="F959" s="613"/>
      <c r="G959" s="610"/>
      <c r="H959" s="614"/>
      <c r="I959" s="618"/>
      <c r="J959" s="495"/>
      <c r="K959" s="494">
        <f>SUM(J958:J958)</f>
        <v>0</v>
      </c>
      <c r="L959" s="493"/>
      <c r="M959" s="494"/>
      <c r="N959" s="491">
        <f t="shared" si="63"/>
        <v>0</v>
      </c>
      <c r="Q959" s="595"/>
      <c r="R959" s="484"/>
      <c r="S959" s="595"/>
      <c r="T959" s="595"/>
      <c r="U959" s="595"/>
    </row>
    <row r="960" spans="2:22" ht="14.1" hidden="1" customHeight="1">
      <c r="B960" s="951"/>
      <c r="C960" s="600" t="s">
        <v>216</v>
      </c>
      <c r="D960" s="619" t="s">
        <v>219</v>
      </c>
      <c r="E960" s="613"/>
      <c r="F960" s="613"/>
      <c r="G960" s="610"/>
      <c r="H960" s="614"/>
      <c r="I960" s="618"/>
      <c r="J960" s="497" t="s">
        <v>220</v>
      </c>
      <c r="K960" s="494">
        <f>K952+K957+K959</f>
        <v>192928</v>
      </c>
      <c r="L960" s="620">
        <f>N960/K960</f>
        <v>0.90718874450572229</v>
      </c>
      <c r="M960" s="497"/>
      <c r="N960" s="498">
        <f>SUM(N948:N959)</f>
        <v>175022.11009999999</v>
      </c>
      <c r="Q960" s="595"/>
      <c r="R960" s="484"/>
      <c r="S960" s="595"/>
      <c r="T960" s="595"/>
      <c r="U960" s="595"/>
    </row>
    <row r="961" spans="2:22" ht="14.1" hidden="1" customHeight="1">
      <c r="B961" s="951"/>
      <c r="C961" s="600" t="s">
        <v>217</v>
      </c>
      <c r="D961" s="619" t="s">
        <v>221</v>
      </c>
      <c r="E961" s="613"/>
      <c r="F961" s="499">
        <f>$F$48</f>
        <v>0.1</v>
      </c>
      <c r="G961" s="605" t="s">
        <v>168</v>
      </c>
      <c r="H961" s="499">
        <f>$H$48</f>
        <v>0.02</v>
      </c>
      <c r="I961" s="621" t="s">
        <v>167</v>
      </c>
      <c r="J961" s="494" t="s">
        <v>216</v>
      </c>
      <c r="K961" s="500">
        <f>ROUND((K960*(F961+H961)),2)</f>
        <v>23151.360000000001</v>
      </c>
      <c r="L961" s="494"/>
      <c r="M961" s="494"/>
      <c r="N961" s="494"/>
      <c r="Q961" s="595"/>
      <c r="R961" s="484"/>
      <c r="S961" s="595"/>
      <c r="T961" s="595"/>
      <c r="U961" s="595"/>
    </row>
    <row r="962" spans="2:22" ht="14.1" hidden="1" customHeight="1">
      <c r="B962" s="951"/>
      <c r="C962" s="622" t="s">
        <v>222</v>
      </c>
      <c r="D962" s="623" t="s">
        <v>76</v>
      </c>
      <c r="E962" s="624"/>
      <c r="F962" s="624"/>
      <c r="G962" s="624"/>
      <c r="H962" s="625"/>
      <c r="I962" s="624"/>
      <c r="J962" s="626" t="s">
        <v>226</v>
      </c>
      <c r="K962" s="627">
        <f>SUM(K960:K961)</f>
        <v>216079.35999999999</v>
      </c>
      <c r="L962" s="620"/>
      <c r="M962" s="626"/>
      <c r="N962" s="635"/>
      <c r="Q962" s="595"/>
      <c r="R962" s="484"/>
      <c r="S962" s="595"/>
      <c r="T962" s="595"/>
      <c r="U962" s="595"/>
    </row>
    <row r="963" spans="2:22" hidden="1">
      <c r="Q963" s="595"/>
      <c r="R963" s="484"/>
      <c r="S963" s="595"/>
      <c r="T963" s="595"/>
      <c r="U963" s="595"/>
    </row>
    <row r="964" spans="2:22" ht="14.1" customHeight="1">
      <c r="B964" s="951">
        <f>B943+1</f>
        <v>49</v>
      </c>
      <c r="C964" s="488"/>
      <c r="D964" s="485" t="s">
        <v>318</v>
      </c>
      <c r="E964" s="485"/>
      <c r="F964" s="485"/>
      <c r="G964" s="485"/>
      <c r="H964" s="488"/>
      <c r="I964" s="485"/>
      <c r="J964" s="485"/>
      <c r="K964" s="591" t="s">
        <v>239</v>
      </c>
      <c r="L964" s="591"/>
      <c r="M964" s="591"/>
      <c r="N964" s="591"/>
      <c r="O964" s="506" t="str">
        <f>D965</f>
        <v>m2</v>
      </c>
      <c r="P964" s="682">
        <f>K983</f>
        <v>259540.37</v>
      </c>
      <c r="Q964" s="593">
        <f>L981</f>
        <v>0.70817793241922466</v>
      </c>
      <c r="R964" s="484">
        <f>N981</f>
        <v>164107.82147900001</v>
      </c>
      <c r="S964" s="594"/>
      <c r="T964" s="484"/>
      <c r="U964" s="593"/>
    </row>
    <row r="965" spans="2:22" ht="14.1" customHeight="1">
      <c r="B965" s="951"/>
      <c r="C965" s="488"/>
      <c r="D965" s="485" t="s">
        <v>100</v>
      </c>
      <c r="E965" s="485"/>
      <c r="F965" s="485"/>
      <c r="G965" s="485"/>
      <c r="H965" s="488"/>
      <c r="I965" s="485"/>
      <c r="J965" s="485"/>
      <c r="K965" s="485"/>
      <c r="L965" s="485"/>
      <c r="M965" s="485"/>
      <c r="N965" s="485"/>
      <c r="Q965" s="595"/>
      <c r="R965" s="484"/>
      <c r="S965" s="595"/>
      <c r="T965" s="595"/>
      <c r="U965" s="595"/>
    </row>
    <row r="966" spans="2:22" ht="14.1" customHeight="1">
      <c r="B966" s="951"/>
      <c r="C966" s="596"/>
      <c r="D966" s="975" t="s">
        <v>55</v>
      </c>
      <c r="E966" s="976"/>
      <c r="F966" s="597"/>
      <c r="G966" s="974" t="s">
        <v>56</v>
      </c>
      <c r="H966" s="974" t="s">
        <v>57</v>
      </c>
      <c r="I966" s="596" t="s">
        <v>58</v>
      </c>
      <c r="J966" s="596" t="s">
        <v>59</v>
      </c>
      <c r="K966" s="596" t="s">
        <v>102</v>
      </c>
      <c r="L966" s="596" t="s">
        <v>418</v>
      </c>
      <c r="M966" s="596" t="s">
        <v>419</v>
      </c>
      <c r="N966" s="596" t="s">
        <v>59</v>
      </c>
      <c r="Q966" s="595"/>
      <c r="R966" s="484"/>
      <c r="S966" s="595"/>
      <c r="T966" s="595"/>
      <c r="U966" s="595"/>
    </row>
    <row r="967" spans="2:22" ht="14.1" customHeight="1">
      <c r="B967" s="951"/>
      <c r="C967" s="598" t="s">
        <v>227</v>
      </c>
      <c r="D967" s="967"/>
      <c r="E967" s="968"/>
      <c r="F967" s="599"/>
      <c r="G967" s="972"/>
      <c r="H967" s="972"/>
      <c r="I967" s="598" t="s">
        <v>60</v>
      </c>
      <c r="J967" s="598" t="s">
        <v>61</v>
      </c>
      <c r="K967" s="598" t="s">
        <v>61</v>
      </c>
      <c r="L967" s="598" t="s">
        <v>421</v>
      </c>
      <c r="M967" s="598"/>
      <c r="N967" s="598" t="s">
        <v>423</v>
      </c>
      <c r="P967" s="506">
        <f>1/P969</f>
        <v>2.7777777777777777</v>
      </c>
      <c r="Q967" s="595"/>
      <c r="R967" s="484"/>
      <c r="S967" s="595"/>
      <c r="T967" s="595"/>
      <c r="U967" s="595"/>
    </row>
    <row r="968" spans="2:22" ht="14.1" customHeight="1">
      <c r="B968" s="951"/>
      <c r="C968" s="600"/>
      <c r="D968" s="969"/>
      <c r="E968" s="970"/>
      <c r="F968" s="601"/>
      <c r="G968" s="973"/>
      <c r="H968" s="973"/>
      <c r="I968" s="600" t="s">
        <v>61</v>
      </c>
      <c r="J968" s="602"/>
      <c r="K968" s="602"/>
      <c r="L968" s="602"/>
      <c r="M968" s="602"/>
      <c r="N968" s="600" t="s">
        <v>61</v>
      </c>
      <c r="P968" s="506">
        <f>1/P969</f>
        <v>2.7777777777777777</v>
      </c>
      <c r="Q968" s="595"/>
      <c r="R968" s="484"/>
      <c r="S968" s="595"/>
      <c r="T968" s="595"/>
      <c r="U968" s="595"/>
    </row>
    <row r="969" spans="2:22" ht="14.1" customHeight="1">
      <c r="B969" s="951"/>
      <c r="C969" s="596" t="s">
        <v>213</v>
      </c>
      <c r="D969" s="607" t="s">
        <v>62</v>
      </c>
      <c r="E969" s="615" t="s">
        <v>207</v>
      </c>
      <c r="F969" s="615"/>
      <c r="G969" s="605" t="s">
        <v>29</v>
      </c>
      <c r="H969" s="616">
        <v>2.9460000000000002</v>
      </c>
      <c r="I969" s="632">
        <f>+'UPH-TNG'!$I$63/2.78</f>
        <v>43165.467625899284</v>
      </c>
      <c r="J969" s="491">
        <f>ROUND(H969*I969,2)</f>
        <v>127165.47</v>
      </c>
      <c r="K969" s="492"/>
      <c r="L969" s="501">
        <f>$L$883</f>
        <v>0.49569999999999997</v>
      </c>
      <c r="M969" s="494" t="s">
        <v>429</v>
      </c>
      <c r="N969" s="491">
        <f t="shared" ref="N969:N980" si="64">L969*J969</f>
        <v>63035.923478999997</v>
      </c>
      <c r="P969" s="506">
        <f>0.6*0.6</f>
        <v>0.36</v>
      </c>
      <c r="Q969" s="595">
        <v>2.9460000000000002</v>
      </c>
      <c r="R969" s="531">
        <f>0.6*0.6</f>
        <v>0.36</v>
      </c>
      <c r="S969" s="595"/>
      <c r="T969" s="595"/>
      <c r="U969" s="595"/>
      <c r="V969" s="506">
        <f>1/P969</f>
        <v>2.7777777777777777</v>
      </c>
    </row>
    <row r="970" spans="2:22" ht="14.1" customHeight="1">
      <c r="B970" s="951"/>
      <c r="C970" s="607"/>
      <c r="D970" s="607"/>
      <c r="E970" s="615" t="s">
        <v>75</v>
      </c>
      <c r="F970" s="615"/>
      <c r="G970" s="605" t="s">
        <v>73</v>
      </c>
      <c r="H970" s="616">
        <v>10.4</v>
      </c>
      <c r="I970" s="632">
        <f>'UPH-TNG'!$I$104</f>
        <v>1425</v>
      </c>
      <c r="J970" s="491">
        <f>ROUND(H970*I970,2)</f>
        <v>14820</v>
      </c>
      <c r="K970" s="496"/>
      <c r="L970" s="501">
        <f>$L$163</f>
        <v>0.90890000000000004</v>
      </c>
      <c r="M970" s="494" t="s">
        <v>429</v>
      </c>
      <c r="N970" s="491">
        <f t="shared" si="64"/>
        <v>13469.898000000001</v>
      </c>
      <c r="P970" s="506">
        <v>1.44</v>
      </c>
      <c r="Q970" s="595">
        <v>9.3000000000000007</v>
      </c>
      <c r="R970" s="484"/>
      <c r="S970" s="595"/>
      <c r="T970" s="595"/>
      <c r="U970" s="595"/>
      <c r="V970" s="506">
        <v>1.05</v>
      </c>
    </row>
    <row r="971" spans="2:22" ht="14.1" customHeight="1">
      <c r="B971" s="951"/>
      <c r="C971" s="607"/>
      <c r="D971" s="607"/>
      <c r="E971" s="615" t="s">
        <v>97</v>
      </c>
      <c r="F971" s="615"/>
      <c r="G971" s="605" t="s">
        <v>68</v>
      </c>
      <c r="H971" s="616">
        <v>4.4999999999999998E-2</v>
      </c>
      <c r="I971" s="632">
        <f>'UPH-TNG'!$I$107</f>
        <v>280000</v>
      </c>
      <c r="J971" s="491">
        <f>ROUND(H971*I971,2)</f>
        <v>12600</v>
      </c>
      <c r="K971" s="607"/>
      <c r="L971" s="502">
        <v>1</v>
      </c>
      <c r="M971" s="494"/>
      <c r="N971" s="491">
        <f t="shared" si="64"/>
        <v>12600</v>
      </c>
      <c r="P971" s="682">
        <f>P970*J969</f>
        <v>183118.27679999999</v>
      </c>
      <c r="Q971" s="595">
        <v>1.7999999999999999E-2</v>
      </c>
      <c r="R971" s="484"/>
      <c r="S971" s="595"/>
      <c r="T971" s="595"/>
      <c r="U971" s="595"/>
      <c r="V971" s="506">
        <f>V969*V970</f>
        <v>2.9166666666666665</v>
      </c>
    </row>
    <row r="972" spans="2:22" ht="14.1" customHeight="1">
      <c r="B972" s="951"/>
      <c r="C972" s="598"/>
      <c r="D972" s="607"/>
      <c r="E972" s="615" t="s">
        <v>101</v>
      </c>
      <c r="F972" s="615"/>
      <c r="G972" s="605" t="s">
        <v>73</v>
      </c>
      <c r="H972" s="616">
        <v>0.15</v>
      </c>
      <c r="I972" s="632">
        <f>'UPH-TNG'!$I$105</f>
        <v>14300</v>
      </c>
      <c r="J972" s="491">
        <f>ROUND(H972*I972,2)</f>
        <v>2145</v>
      </c>
      <c r="K972" s="602"/>
      <c r="L972" s="502">
        <v>0</v>
      </c>
      <c r="M972" s="494"/>
      <c r="N972" s="491">
        <f t="shared" si="64"/>
        <v>0</v>
      </c>
      <c r="Q972" s="595">
        <v>0.15</v>
      </c>
      <c r="R972" s="484"/>
      <c r="S972" s="595"/>
      <c r="T972" s="595"/>
      <c r="U972" s="595"/>
    </row>
    <row r="973" spans="2:22" ht="14.1" customHeight="1">
      <c r="B973" s="951"/>
      <c r="C973" s="600"/>
      <c r="D973" s="607"/>
      <c r="E973" s="612"/>
      <c r="F973" s="613"/>
      <c r="G973" s="610"/>
      <c r="H973" s="614"/>
      <c r="I973" s="633"/>
      <c r="J973" s="495"/>
      <c r="K973" s="491">
        <f>SUM(J969:J972)</f>
        <v>156730.47</v>
      </c>
      <c r="L973" s="502"/>
      <c r="M973" s="494"/>
      <c r="N973" s="491">
        <f t="shared" si="64"/>
        <v>0</v>
      </c>
      <c r="Q973" s="595"/>
      <c r="R973" s="484"/>
      <c r="S973" s="595"/>
      <c r="T973" s="595"/>
      <c r="U973" s="595"/>
    </row>
    <row r="974" spans="2:22" ht="14.1" customHeight="1">
      <c r="B974" s="951"/>
      <c r="C974" s="596" t="s">
        <v>214</v>
      </c>
      <c r="D974" s="603" t="s">
        <v>63</v>
      </c>
      <c r="E974" s="615" t="s">
        <v>69</v>
      </c>
      <c r="F974" s="615"/>
      <c r="G974" s="605" t="s">
        <v>66</v>
      </c>
      <c r="H974" s="616">
        <v>0.5</v>
      </c>
      <c r="I974" s="632">
        <f>'UPH-TNG'!$I$15</f>
        <v>92000</v>
      </c>
      <c r="J974" s="491">
        <f>ROUND(H974*I974,2)</f>
        <v>46000</v>
      </c>
      <c r="K974" s="492"/>
      <c r="L974" s="493">
        <v>1</v>
      </c>
      <c r="M974" s="493" t="s">
        <v>422</v>
      </c>
      <c r="N974" s="491">
        <f t="shared" si="64"/>
        <v>46000</v>
      </c>
      <c r="Q974" s="595">
        <v>0.45</v>
      </c>
      <c r="R974" s="484"/>
      <c r="S974" s="595"/>
      <c r="T974" s="595"/>
      <c r="U974" s="595"/>
    </row>
    <row r="975" spans="2:22" ht="14.1" customHeight="1">
      <c r="B975" s="951"/>
      <c r="C975" s="607"/>
      <c r="D975" s="607"/>
      <c r="E975" s="615" t="s">
        <v>70</v>
      </c>
      <c r="F975" s="615"/>
      <c r="G975" s="605" t="s">
        <v>66</v>
      </c>
      <c r="H975" s="616">
        <v>0.25</v>
      </c>
      <c r="I975" s="632">
        <f>'UPH-TNG'!$I$21</f>
        <v>95000</v>
      </c>
      <c r="J975" s="491">
        <f>ROUND(H975*I975,2)</f>
        <v>23750</v>
      </c>
      <c r="K975" s="496"/>
      <c r="L975" s="493">
        <v>1</v>
      </c>
      <c r="M975" s="493" t="s">
        <v>422</v>
      </c>
      <c r="N975" s="491">
        <f t="shared" si="64"/>
        <v>23750</v>
      </c>
      <c r="Q975" s="595">
        <v>0.45</v>
      </c>
      <c r="R975" s="484"/>
      <c r="S975" s="595"/>
      <c r="T975" s="595"/>
      <c r="U975" s="595"/>
    </row>
    <row r="976" spans="2:22" ht="14.1" customHeight="1">
      <c r="B976" s="951"/>
      <c r="C976" s="607"/>
      <c r="D976" s="607"/>
      <c r="E976" s="615" t="s">
        <v>71</v>
      </c>
      <c r="F976" s="615"/>
      <c r="G976" s="605" t="s">
        <v>66</v>
      </c>
      <c r="H976" s="616">
        <v>2.5999999999999999E-2</v>
      </c>
      <c r="I976" s="617">
        <f>'UPH-TNG'!$I$16</f>
        <v>104000</v>
      </c>
      <c r="J976" s="491">
        <f>ROUND(H976*I976,2)</f>
        <v>2704</v>
      </c>
      <c r="K976" s="496"/>
      <c r="L976" s="493">
        <v>1</v>
      </c>
      <c r="M976" s="493" t="s">
        <v>422</v>
      </c>
      <c r="N976" s="491">
        <f t="shared" si="64"/>
        <v>2704</v>
      </c>
      <c r="Q976" s="595">
        <v>4.4999999999999998E-2</v>
      </c>
      <c r="R976" s="484"/>
      <c r="S976" s="595"/>
      <c r="T976" s="595"/>
      <c r="U976" s="595"/>
    </row>
    <row r="977" spans="2:21" ht="14.1" customHeight="1">
      <c r="B977" s="951"/>
      <c r="C977" s="607"/>
      <c r="D977" s="607"/>
      <c r="E977" s="615" t="s">
        <v>65</v>
      </c>
      <c r="F977" s="615"/>
      <c r="G977" s="605" t="s">
        <v>66</v>
      </c>
      <c r="H977" s="616">
        <v>2.5999999999999999E-2</v>
      </c>
      <c r="I977" s="632">
        <f>'UPH-TNG'!$I$20</f>
        <v>98000</v>
      </c>
      <c r="J977" s="491">
        <f>ROUND(H977*I977,2)</f>
        <v>2548</v>
      </c>
      <c r="K977" s="607"/>
      <c r="L977" s="493">
        <v>1</v>
      </c>
      <c r="M977" s="493" t="s">
        <v>422</v>
      </c>
      <c r="N977" s="491">
        <f t="shared" si="64"/>
        <v>2548</v>
      </c>
      <c r="Q977" s="595">
        <v>4.4999999999999998E-2</v>
      </c>
      <c r="R977" s="484"/>
      <c r="S977" s="595"/>
      <c r="T977" s="595"/>
      <c r="U977" s="595"/>
    </row>
    <row r="978" spans="2:21" ht="14.1" customHeight="1">
      <c r="B978" s="951"/>
      <c r="C978" s="600"/>
      <c r="D978" s="602"/>
      <c r="E978" s="612"/>
      <c r="F978" s="613"/>
      <c r="G978" s="610"/>
      <c r="H978" s="614"/>
      <c r="I978" s="633"/>
      <c r="J978" s="495"/>
      <c r="K978" s="494">
        <f>SUM(J974:J977)</f>
        <v>75002</v>
      </c>
      <c r="L978" s="493"/>
      <c r="M978" s="494"/>
      <c r="N978" s="491">
        <f t="shared" si="64"/>
        <v>0</v>
      </c>
      <c r="Q978" s="595"/>
      <c r="R978" s="484"/>
      <c r="S978" s="595"/>
      <c r="T978" s="595"/>
      <c r="U978" s="595"/>
    </row>
    <row r="979" spans="2:21" ht="14.1" customHeight="1">
      <c r="B979" s="951"/>
      <c r="C979" s="598" t="s">
        <v>215</v>
      </c>
      <c r="D979" s="603" t="s">
        <v>212</v>
      </c>
      <c r="E979" s="615"/>
      <c r="F979" s="615"/>
      <c r="G979" s="605"/>
      <c r="H979" s="616"/>
      <c r="I979" s="617"/>
      <c r="J979" s="491"/>
      <c r="K979" s="492"/>
      <c r="L979" s="493"/>
      <c r="M979" s="494"/>
      <c r="N979" s="491">
        <f t="shared" si="64"/>
        <v>0</v>
      </c>
      <c r="Q979" s="595"/>
      <c r="R979" s="484"/>
      <c r="S979" s="595"/>
      <c r="T979" s="595"/>
      <c r="U979" s="595"/>
    </row>
    <row r="980" spans="2:21" ht="14.1" customHeight="1">
      <c r="B980" s="951"/>
      <c r="C980" s="602"/>
      <c r="D980" s="602"/>
      <c r="E980" s="612"/>
      <c r="F980" s="613"/>
      <c r="G980" s="610"/>
      <c r="H980" s="614"/>
      <c r="I980" s="618"/>
      <c r="J980" s="495"/>
      <c r="K980" s="494">
        <f>SUM(J979:J979)</f>
        <v>0</v>
      </c>
      <c r="L980" s="493"/>
      <c r="M980" s="494"/>
      <c r="N980" s="491">
        <f t="shared" si="64"/>
        <v>0</v>
      </c>
      <c r="Q980" s="595"/>
      <c r="R980" s="484"/>
      <c r="S980" s="595"/>
      <c r="T980" s="595"/>
      <c r="U980" s="595"/>
    </row>
    <row r="981" spans="2:21" ht="14.1" customHeight="1">
      <c r="B981" s="951"/>
      <c r="C981" s="600" t="s">
        <v>216</v>
      </c>
      <c r="D981" s="619" t="s">
        <v>219</v>
      </c>
      <c r="E981" s="613"/>
      <c r="F981" s="613"/>
      <c r="G981" s="610"/>
      <c r="H981" s="614"/>
      <c r="I981" s="618"/>
      <c r="J981" s="497" t="s">
        <v>220</v>
      </c>
      <c r="K981" s="494">
        <f>K973+K978+K980</f>
        <v>231732.47</v>
      </c>
      <c r="L981" s="620">
        <f>N981/K981</f>
        <v>0.70817793241922466</v>
      </c>
      <c r="M981" s="497"/>
      <c r="N981" s="498">
        <f>SUM(N969:N980)</f>
        <v>164107.82147900001</v>
      </c>
      <c r="Q981" s="595"/>
      <c r="R981" s="484"/>
      <c r="S981" s="595"/>
      <c r="T981" s="595"/>
      <c r="U981" s="595"/>
    </row>
    <row r="982" spans="2:21" ht="14.1" customHeight="1">
      <c r="B982" s="951"/>
      <c r="C982" s="600" t="s">
        <v>217</v>
      </c>
      <c r="D982" s="619" t="s">
        <v>221</v>
      </c>
      <c r="E982" s="613"/>
      <c r="F982" s="499">
        <f>$F$48</f>
        <v>0.1</v>
      </c>
      <c r="G982" s="605" t="s">
        <v>168</v>
      </c>
      <c r="H982" s="499">
        <f>$H$48</f>
        <v>0.02</v>
      </c>
      <c r="I982" s="621" t="s">
        <v>167</v>
      </c>
      <c r="J982" s="494" t="s">
        <v>216</v>
      </c>
      <c r="K982" s="500">
        <f>ROUND((K981*(F982+H982)),2)</f>
        <v>27807.9</v>
      </c>
      <c r="L982" s="494"/>
      <c r="M982" s="494"/>
      <c r="N982" s="494"/>
      <c r="Q982" s="595"/>
      <c r="R982" s="484"/>
      <c r="S982" s="595"/>
      <c r="T982" s="595"/>
      <c r="U982" s="595"/>
    </row>
    <row r="983" spans="2:21" ht="14.1" customHeight="1">
      <c r="B983" s="951"/>
      <c r="C983" s="622" t="s">
        <v>222</v>
      </c>
      <c r="D983" s="623" t="s">
        <v>76</v>
      </c>
      <c r="E983" s="624"/>
      <c r="F983" s="624"/>
      <c r="G983" s="624"/>
      <c r="H983" s="625"/>
      <c r="I983" s="624"/>
      <c r="J983" s="626" t="s">
        <v>226</v>
      </c>
      <c r="K983" s="627">
        <f>SUM(K981:K982)</f>
        <v>259540.37</v>
      </c>
      <c r="L983" s="620"/>
      <c r="M983" s="626"/>
      <c r="N983" s="635"/>
      <c r="Q983" s="595"/>
      <c r="R983" s="484"/>
      <c r="S983" s="595"/>
      <c r="T983" s="595"/>
      <c r="U983" s="595"/>
    </row>
    <row r="984" spans="2:21">
      <c r="Q984" s="595"/>
      <c r="R984" s="484"/>
      <c r="S984" s="595"/>
      <c r="T984" s="595"/>
      <c r="U984" s="595"/>
    </row>
    <row r="985" spans="2:21" ht="14.1" customHeight="1">
      <c r="B985" s="951">
        <f>B964+1</f>
        <v>50</v>
      </c>
      <c r="C985" s="488"/>
      <c r="D985" s="485" t="s">
        <v>510</v>
      </c>
      <c r="E985" s="485"/>
      <c r="F985" s="485"/>
      <c r="G985" s="485"/>
      <c r="H985" s="488"/>
      <c r="I985" s="485"/>
      <c r="J985" s="485"/>
      <c r="K985" s="591" t="s">
        <v>239</v>
      </c>
      <c r="L985" s="591"/>
      <c r="M985" s="591"/>
      <c r="N985" s="591"/>
      <c r="O985" s="506" t="str">
        <f>D986</f>
        <v>m2</v>
      </c>
      <c r="P985" s="682">
        <f>K1004</f>
        <v>305350.44999999995</v>
      </c>
      <c r="Q985" s="593">
        <f>L1002</f>
        <v>0.69367675699901776</v>
      </c>
      <c r="R985" s="484">
        <f>N1002</f>
        <v>189120.09788099999</v>
      </c>
      <c r="S985" s="594"/>
      <c r="T985" s="484"/>
      <c r="U985" s="593"/>
    </row>
    <row r="986" spans="2:21" ht="14.1" customHeight="1">
      <c r="B986" s="951"/>
      <c r="C986" s="488"/>
      <c r="D986" s="485" t="s">
        <v>100</v>
      </c>
      <c r="E986" s="485"/>
      <c r="F986" s="485"/>
      <c r="G986" s="485"/>
      <c r="H986" s="488"/>
      <c r="I986" s="485"/>
      <c r="J986" s="485"/>
      <c r="K986" s="485"/>
      <c r="L986" s="485"/>
      <c r="M986" s="485"/>
      <c r="N986" s="485"/>
      <c r="Q986" s="595"/>
      <c r="R986" s="484"/>
      <c r="S986" s="595"/>
      <c r="T986" s="595"/>
      <c r="U986" s="595"/>
    </row>
    <row r="987" spans="2:21" ht="14.1" customHeight="1">
      <c r="B987" s="951"/>
      <c r="C987" s="596"/>
      <c r="D987" s="975" t="s">
        <v>55</v>
      </c>
      <c r="E987" s="976"/>
      <c r="F987" s="597"/>
      <c r="G987" s="974" t="s">
        <v>56</v>
      </c>
      <c r="H987" s="974" t="s">
        <v>57</v>
      </c>
      <c r="I987" s="596" t="s">
        <v>58</v>
      </c>
      <c r="J987" s="596" t="s">
        <v>59</v>
      </c>
      <c r="K987" s="596" t="s">
        <v>102</v>
      </c>
      <c r="L987" s="596" t="s">
        <v>418</v>
      </c>
      <c r="M987" s="596" t="s">
        <v>419</v>
      </c>
      <c r="N987" s="596" t="s">
        <v>59</v>
      </c>
      <c r="Q987" s="595"/>
      <c r="R987" s="484"/>
      <c r="S987" s="595"/>
      <c r="T987" s="595"/>
      <c r="U987" s="595"/>
    </row>
    <row r="988" spans="2:21" ht="14.1" customHeight="1">
      <c r="B988" s="951"/>
      <c r="C988" s="598" t="s">
        <v>227</v>
      </c>
      <c r="D988" s="967"/>
      <c r="E988" s="968"/>
      <c r="F988" s="599"/>
      <c r="G988" s="972"/>
      <c r="H988" s="972"/>
      <c r="I988" s="598" t="s">
        <v>60</v>
      </c>
      <c r="J988" s="598" t="s">
        <v>61</v>
      </c>
      <c r="K988" s="598" t="s">
        <v>61</v>
      </c>
      <c r="L988" s="598" t="s">
        <v>421</v>
      </c>
      <c r="M988" s="598"/>
      <c r="N988" s="598" t="s">
        <v>423</v>
      </c>
      <c r="Q988" s="595"/>
      <c r="R988" s="484"/>
      <c r="S988" s="595"/>
      <c r="T988" s="595"/>
      <c r="U988" s="595"/>
    </row>
    <row r="989" spans="2:21" ht="14.1" customHeight="1">
      <c r="B989" s="951"/>
      <c r="C989" s="600"/>
      <c r="D989" s="969"/>
      <c r="E989" s="970"/>
      <c r="F989" s="601"/>
      <c r="G989" s="973"/>
      <c r="H989" s="973"/>
      <c r="I989" s="600" t="s">
        <v>61</v>
      </c>
      <c r="J989" s="602"/>
      <c r="K989" s="602"/>
      <c r="L989" s="602"/>
      <c r="M989" s="602"/>
      <c r="N989" s="600" t="s">
        <v>61</v>
      </c>
      <c r="Q989" s="595"/>
      <c r="R989" s="484"/>
      <c r="S989" s="595"/>
      <c r="T989" s="595"/>
      <c r="U989" s="595"/>
    </row>
    <row r="990" spans="2:21" ht="14.1" customHeight="1">
      <c r="B990" s="951"/>
      <c r="C990" s="596" t="s">
        <v>213</v>
      </c>
      <c r="D990" s="607" t="s">
        <v>62</v>
      </c>
      <c r="E990" s="615" t="s">
        <v>267</v>
      </c>
      <c r="F990" s="615"/>
      <c r="G990" s="605" t="s">
        <v>29</v>
      </c>
      <c r="H990" s="616">
        <v>2.9460000000000002</v>
      </c>
      <c r="I990" s="632">
        <f>'UPH-TNG'!I62/2.78</f>
        <v>53956.834532374101</v>
      </c>
      <c r="J990" s="491">
        <f>ROUND(H990*I990,2)</f>
        <v>158956.82999999999</v>
      </c>
      <c r="K990" s="492"/>
      <c r="L990" s="502">
        <f>$L$883</f>
        <v>0.49569999999999997</v>
      </c>
      <c r="M990" s="494" t="s">
        <v>429</v>
      </c>
      <c r="N990" s="491">
        <f t="shared" ref="N990:N1001" si="65">L990*J990</f>
        <v>78794.900630999997</v>
      </c>
      <c r="Q990" s="595"/>
      <c r="R990" s="484"/>
      <c r="S990" s="595"/>
      <c r="T990" s="595"/>
      <c r="U990" s="595"/>
    </row>
    <row r="991" spans="2:21" ht="14.1" customHeight="1">
      <c r="B991" s="951"/>
      <c r="C991" s="607"/>
      <c r="D991" s="607"/>
      <c r="E991" s="615" t="s">
        <v>75</v>
      </c>
      <c r="F991" s="615"/>
      <c r="G991" s="605" t="s">
        <v>73</v>
      </c>
      <c r="H991" s="616">
        <v>9.3000000000000007</v>
      </c>
      <c r="I991" s="632">
        <f>'UPH-TNG'!$I$104</f>
        <v>1425</v>
      </c>
      <c r="J991" s="491">
        <f>ROUND(H991*I991,2)</f>
        <v>13252.5</v>
      </c>
      <c r="K991" s="496"/>
      <c r="L991" s="501">
        <f>$L$163</f>
        <v>0.90890000000000004</v>
      </c>
      <c r="M991" s="494" t="s">
        <v>429</v>
      </c>
      <c r="N991" s="491">
        <f t="shared" si="65"/>
        <v>12045.197250000001</v>
      </c>
      <c r="Q991" s="595"/>
      <c r="R991" s="484"/>
      <c r="S991" s="595"/>
      <c r="T991" s="595"/>
      <c r="U991" s="595"/>
    </row>
    <row r="992" spans="2:21" ht="14.1" customHeight="1">
      <c r="B992" s="951"/>
      <c r="C992" s="607"/>
      <c r="D992" s="607"/>
      <c r="E992" s="615" t="s">
        <v>97</v>
      </c>
      <c r="F992" s="615"/>
      <c r="G992" s="605" t="s">
        <v>68</v>
      </c>
      <c r="H992" s="616">
        <v>1.7999999999999999E-2</v>
      </c>
      <c r="I992" s="632">
        <f>'UPH-TNG'!$I$107</f>
        <v>280000</v>
      </c>
      <c r="J992" s="491">
        <f>ROUND(H992*I992,2)</f>
        <v>5040</v>
      </c>
      <c r="K992" s="607"/>
      <c r="L992" s="502">
        <v>1</v>
      </c>
      <c r="M992" s="494"/>
      <c r="N992" s="491">
        <f t="shared" si="65"/>
        <v>5040</v>
      </c>
      <c r="Q992" s="595"/>
      <c r="R992" s="484"/>
      <c r="S992" s="595"/>
      <c r="T992" s="595"/>
      <c r="U992" s="595"/>
    </row>
    <row r="993" spans="2:21" ht="14.1" customHeight="1">
      <c r="B993" s="951"/>
      <c r="C993" s="598"/>
      <c r="D993" s="607"/>
      <c r="E993" s="615" t="s">
        <v>101</v>
      </c>
      <c r="F993" s="615"/>
      <c r="G993" s="605" t="s">
        <v>73</v>
      </c>
      <c r="H993" s="616">
        <v>0.15</v>
      </c>
      <c r="I993" s="632">
        <f>'UPH-TNG'!$I$105</f>
        <v>14300</v>
      </c>
      <c r="J993" s="491">
        <f>ROUND(H993*I993,2)</f>
        <v>2145</v>
      </c>
      <c r="K993" s="602"/>
      <c r="L993" s="502">
        <v>0</v>
      </c>
      <c r="M993" s="494"/>
      <c r="N993" s="491">
        <f t="shared" si="65"/>
        <v>0</v>
      </c>
      <c r="Q993" s="595"/>
      <c r="R993" s="484"/>
      <c r="S993" s="595"/>
      <c r="T993" s="595"/>
      <c r="U993" s="595"/>
    </row>
    <row r="994" spans="2:21" ht="14.1" customHeight="1">
      <c r="B994" s="951"/>
      <c r="C994" s="600"/>
      <c r="D994" s="607"/>
      <c r="E994" s="612"/>
      <c r="F994" s="613"/>
      <c r="G994" s="610"/>
      <c r="H994" s="614"/>
      <c r="I994" s="633"/>
      <c r="J994" s="495"/>
      <c r="K994" s="491">
        <f>SUM(J990:J993)</f>
        <v>179394.33</v>
      </c>
      <c r="L994" s="502"/>
      <c r="M994" s="494"/>
      <c r="N994" s="491">
        <f t="shared" si="65"/>
        <v>0</v>
      </c>
      <c r="Q994" s="595"/>
      <c r="R994" s="484"/>
      <c r="S994" s="595"/>
      <c r="T994" s="595"/>
      <c r="U994" s="595"/>
    </row>
    <row r="995" spans="2:21" ht="14.1" customHeight="1">
      <c r="B995" s="951"/>
      <c r="C995" s="596" t="s">
        <v>214</v>
      </c>
      <c r="D995" s="603" t="s">
        <v>63</v>
      </c>
      <c r="E995" s="615" t="s">
        <v>69</v>
      </c>
      <c r="F995" s="615"/>
      <c r="G995" s="605" t="s">
        <v>66</v>
      </c>
      <c r="H995" s="616">
        <v>0.45</v>
      </c>
      <c r="I995" s="632">
        <f>'UPH-TNG'!$I$15</f>
        <v>92000</v>
      </c>
      <c r="J995" s="491">
        <f>ROUND(H995*I995,2)</f>
        <v>41400</v>
      </c>
      <c r="K995" s="492"/>
      <c r="L995" s="493">
        <v>1</v>
      </c>
      <c r="M995" s="493" t="s">
        <v>422</v>
      </c>
      <c r="N995" s="491">
        <f t="shared" si="65"/>
        <v>41400</v>
      </c>
      <c r="Q995" s="595"/>
      <c r="R995" s="484"/>
      <c r="S995" s="595"/>
      <c r="T995" s="595"/>
      <c r="U995" s="595"/>
    </row>
    <row r="996" spans="2:21" ht="14.1" customHeight="1">
      <c r="B996" s="951"/>
      <c r="C996" s="607"/>
      <c r="D996" s="607"/>
      <c r="E996" s="615" t="s">
        <v>70</v>
      </c>
      <c r="F996" s="615"/>
      <c r="G996" s="605" t="s">
        <v>66</v>
      </c>
      <c r="H996" s="616">
        <v>0.45</v>
      </c>
      <c r="I996" s="632">
        <f>'UPH-TNG'!$I$21</f>
        <v>95000</v>
      </c>
      <c r="J996" s="491">
        <f>ROUND(H996*I996,2)</f>
        <v>42750</v>
      </c>
      <c r="K996" s="496"/>
      <c r="L996" s="493">
        <v>1</v>
      </c>
      <c r="M996" s="493" t="s">
        <v>422</v>
      </c>
      <c r="N996" s="491">
        <f t="shared" si="65"/>
        <v>42750</v>
      </c>
      <c r="Q996" s="595"/>
      <c r="R996" s="484"/>
      <c r="S996" s="595"/>
      <c r="T996" s="595"/>
      <c r="U996" s="595"/>
    </row>
    <row r="997" spans="2:21" ht="14.1" customHeight="1">
      <c r="B997" s="951"/>
      <c r="C997" s="607"/>
      <c r="D997" s="607"/>
      <c r="E997" s="615" t="s">
        <v>71</v>
      </c>
      <c r="F997" s="615"/>
      <c r="G997" s="605" t="s">
        <v>66</v>
      </c>
      <c r="H997" s="616">
        <v>4.4999999999999998E-2</v>
      </c>
      <c r="I997" s="617">
        <f>'UPH-TNG'!$I$16</f>
        <v>104000</v>
      </c>
      <c r="J997" s="491">
        <f>ROUND(H997*I997,2)</f>
        <v>4680</v>
      </c>
      <c r="K997" s="496"/>
      <c r="L997" s="493">
        <v>1</v>
      </c>
      <c r="M997" s="493" t="s">
        <v>422</v>
      </c>
      <c r="N997" s="491">
        <f t="shared" si="65"/>
        <v>4680</v>
      </c>
      <c r="Q997" s="595"/>
      <c r="R997" s="484"/>
      <c r="S997" s="595"/>
      <c r="T997" s="595"/>
      <c r="U997" s="595"/>
    </row>
    <row r="998" spans="2:21" ht="14.1" customHeight="1">
      <c r="B998" s="951"/>
      <c r="C998" s="607"/>
      <c r="D998" s="607"/>
      <c r="E998" s="615" t="s">
        <v>65</v>
      </c>
      <c r="F998" s="615"/>
      <c r="G998" s="605" t="s">
        <v>66</v>
      </c>
      <c r="H998" s="616">
        <v>4.4999999999999998E-2</v>
      </c>
      <c r="I998" s="632">
        <f>'UPH-TNG'!$I$20</f>
        <v>98000</v>
      </c>
      <c r="J998" s="491">
        <f>ROUND(H998*I998,2)</f>
        <v>4410</v>
      </c>
      <c r="K998" s="607"/>
      <c r="L998" s="493">
        <v>1</v>
      </c>
      <c r="M998" s="493" t="s">
        <v>422</v>
      </c>
      <c r="N998" s="491">
        <f t="shared" si="65"/>
        <v>4410</v>
      </c>
      <c r="Q998" s="595"/>
      <c r="R998" s="484"/>
      <c r="S998" s="595"/>
      <c r="T998" s="595"/>
      <c r="U998" s="595"/>
    </row>
    <row r="999" spans="2:21" ht="14.1" customHeight="1">
      <c r="B999" s="951"/>
      <c r="C999" s="600"/>
      <c r="D999" s="602"/>
      <c r="E999" s="612"/>
      <c r="F999" s="613"/>
      <c r="G999" s="610"/>
      <c r="H999" s="614"/>
      <c r="I999" s="633"/>
      <c r="J999" s="495"/>
      <c r="K999" s="494">
        <f>SUM(J995:J998)</f>
        <v>93240</v>
      </c>
      <c r="L999" s="493"/>
      <c r="M999" s="494"/>
      <c r="N999" s="491">
        <f t="shared" si="65"/>
        <v>0</v>
      </c>
      <c r="Q999" s="595"/>
      <c r="R999" s="484"/>
      <c r="S999" s="595"/>
      <c r="T999" s="595"/>
      <c r="U999" s="595"/>
    </row>
    <row r="1000" spans="2:21" ht="14.1" customHeight="1">
      <c r="B1000" s="951"/>
      <c r="C1000" s="598" t="s">
        <v>215</v>
      </c>
      <c r="D1000" s="603" t="s">
        <v>212</v>
      </c>
      <c r="E1000" s="615"/>
      <c r="F1000" s="615"/>
      <c r="G1000" s="605"/>
      <c r="H1000" s="616"/>
      <c r="I1000" s="617"/>
      <c r="J1000" s="491"/>
      <c r="K1000" s="492"/>
      <c r="L1000" s="493"/>
      <c r="M1000" s="494"/>
      <c r="N1000" s="491">
        <f t="shared" si="65"/>
        <v>0</v>
      </c>
      <c r="Q1000" s="595"/>
      <c r="R1000" s="484"/>
      <c r="S1000" s="595"/>
      <c r="T1000" s="595"/>
      <c r="U1000" s="595"/>
    </row>
    <row r="1001" spans="2:21" ht="14.1" customHeight="1">
      <c r="B1001" s="951"/>
      <c r="C1001" s="602"/>
      <c r="D1001" s="602"/>
      <c r="E1001" s="612"/>
      <c r="F1001" s="613"/>
      <c r="G1001" s="610"/>
      <c r="H1001" s="614"/>
      <c r="I1001" s="618"/>
      <c r="J1001" s="495"/>
      <c r="K1001" s="494">
        <f>SUM(J1000:J1000)</f>
        <v>0</v>
      </c>
      <c r="L1001" s="493"/>
      <c r="M1001" s="494"/>
      <c r="N1001" s="491">
        <f t="shared" si="65"/>
        <v>0</v>
      </c>
      <c r="Q1001" s="595"/>
      <c r="R1001" s="484"/>
      <c r="S1001" s="595"/>
      <c r="T1001" s="595"/>
      <c r="U1001" s="595"/>
    </row>
    <row r="1002" spans="2:21" ht="14.1" customHeight="1">
      <c r="B1002" s="951"/>
      <c r="C1002" s="600" t="s">
        <v>216</v>
      </c>
      <c r="D1002" s="619" t="s">
        <v>219</v>
      </c>
      <c r="E1002" s="613"/>
      <c r="F1002" s="613"/>
      <c r="G1002" s="610"/>
      <c r="H1002" s="614"/>
      <c r="I1002" s="618"/>
      <c r="J1002" s="497" t="s">
        <v>220</v>
      </c>
      <c r="K1002" s="494">
        <f>K994+K999+K1001</f>
        <v>272634.32999999996</v>
      </c>
      <c r="L1002" s="620">
        <f>N1002/K1002</f>
        <v>0.69367675699901776</v>
      </c>
      <c r="M1002" s="497"/>
      <c r="N1002" s="498">
        <f>SUM(N990:N1001)</f>
        <v>189120.09788099999</v>
      </c>
      <c r="Q1002" s="595"/>
      <c r="R1002" s="484"/>
      <c r="S1002" s="595"/>
      <c r="T1002" s="595"/>
      <c r="U1002" s="595"/>
    </row>
    <row r="1003" spans="2:21" ht="14.1" customHeight="1">
      <c r="B1003" s="951"/>
      <c r="C1003" s="600" t="s">
        <v>217</v>
      </c>
      <c r="D1003" s="619" t="s">
        <v>221</v>
      </c>
      <c r="E1003" s="613"/>
      <c r="F1003" s="499">
        <f>$F$48</f>
        <v>0.1</v>
      </c>
      <c r="G1003" s="605" t="s">
        <v>168</v>
      </c>
      <c r="H1003" s="499">
        <f>$H$48</f>
        <v>0.02</v>
      </c>
      <c r="I1003" s="621" t="s">
        <v>167</v>
      </c>
      <c r="J1003" s="494" t="s">
        <v>216</v>
      </c>
      <c r="K1003" s="500">
        <f>ROUND((K1002*(F1003+H1003)),2)</f>
        <v>32716.12</v>
      </c>
      <c r="L1003" s="494"/>
      <c r="M1003" s="494"/>
      <c r="N1003" s="494"/>
      <c r="Q1003" s="595"/>
      <c r="R1003" s="484"/>
      <c r="S1003" s="595"/>
      <c r="T1003" s="595"/>
      <c r="U1003" s="595"/>
    </row>
    <row r="1004" spans="2:21" ht="14.1" customHeight="1">
      <c r="B1004" s="951"/>
      <c r="C1004" s="622" t="s">
        <v>222</v>
      </c>
      <c r="D1004" s="623" t="s">
        <v>76</v>
      </c>
      <c r="E1004" s="624"/>
      <c r="F1004" s="624"/>
      <c r="G1004" s="624"/>
      <c r="H1004" s="625"/>
      <c r="I1004" s="624"/>
      <c r="J1004" s="626" t="s">
        <v>226</v>
      </c>
      <c r="K1004" s="627">
        <f>SUM(K1002:K1003)</f>
        <v>305350.44999999995</v>
      </c>
      <c r="L1004" s="620"/>
      <c r="M1004" s="626"/>
      <c r="N1004" s="635"/>
      <c r="Q1004" s="595"/>
      <c r="R1004" s="484"/>
      <c r="S1004" s="595"/>
      <c r="T1004" s="595"/>
      <c r="U1004" s="595"/>
    </row>
    <row r="1005" spans="2:21" ht="14.1" customHeight="1">
      <c r="B1005" s="951"/>
      <c r="C1005" s="487"/>
      <c r="D1005" s="628"/>
      <c r="E1005" s="628"/>
      <c r="F1005" s="628"/>
      <c r="G1005" s="628"/>
      <c r="H1005" s="487"/>
      <c r="I1005" s="628"/>
      <c r="J1005" s="629"/>
      <c r="K1005" s="630"/>
      <c r="L1005" s="630"/>
      <c r="M1005" s="630"/>
      <c r="N1005" s="630"/>
      <c r="Q1005" s="595"/>
      <c r="R1005" s="484"/>
      <c r="S1005" s="595"/>
      <c r="T1005" s="595"/>
      <c r="U1005" s="595"/>
    </row>
    <row r="1006" spans="2:21" ht="14.1" customHeight="1">
      <c r="B1006" s="951">
        <f>B985+1</f>
        <v>51</v>
      </c>
      <c r="C1006" s="488"/>
      <c r="D1006" s="485" t="s">
        <v>728</v>
      </c>
      <c r="E1006" s="485"/>
      <c r="F1006" s="485"/>
      <c r="G1006" s="485"/>
      <c r="H1006" s="488"/>
      <c r="I1006" s="485"/>
      <c r="J1006" s="485"/>
      <c r="K1006" s="591" t="s">
        <v>239</v>
      </c>
      <c r="L1006" s="591"/>
      <c r="M1006" s="591"/>
      <c r="N1006" s="591"/>
      <c r="O1006" s="506" t="str">
        <f>D1007</f>
        <v>m2</v>
      </c>
      <c r="P1006" s="682">
        <f>K1025</f>
        <v>269744.13</v>
      </c>
      <c r="Q1006" s="593">
        <f>L1023</f>
        <v>0.71980976122740892</v>
      </c>
      <c r="R1006" s="484">
        <f>N1023</f>
        <v>173361.12072900002</v>
      </c>
      <c r="S1006" s="594"/>
      <c r="T1006" s="484"/>
      <c r="U1006" s="593"/>
    </row>
    <row r="1007" spans="2:21" ht="14.1" customHeight="1">
      <c r="B1007" s="951"/>
      <c r="C1007" s="488"/>
      <c r="D1007" s="485" t="s">
        <v>100</v>
      </c>
      <c r="E1007" s="485"/>
      <c r="F1007" s="485"/>
      <c r="G1007" s="485"/>
      <c r="H1007" s="488"/>
      <c r="I1007" s="485"/>
      <c r="J1007" s="485"/>
      <c r="K1007" s="485"/>
      <c r="L1007" s="485"/>
      <c r="M1007" s="485"/>
      <c r="N1007" s="485"/>
      <c r="Q1007" s="595"/>
      <c r="R1007" s="484"/>
      <c r="S1007" s="595"/>
      <c r="T1007" s="595"/>
      <c r="U1007" s="595"/>
    </row>
    <row r="1008" spans="2:21" ht="14.1" customHeight="1">
      <c r="B1008" s="951"/>
      <c r="C1008" s="596"/>
      <c r="D1008" s="975" t="s">
        <v>55</v>
      </c>
      <c r="E1008" s="976"/>
      <c r="F1008" s="597"/>
      <c r="G1008" s="974" t="s">
        <v>56</v>
      </c>
      <c r="H1008" s="974" t="s">
        <v>57</v>
      </c>
      <c r="I1008" s="596" t="s">
        <v>58</v>
      </c>
      <c r="J1008" s="596" t="s">
        <v>59</v>
      </c>
      <c r="K1008" s="596" t="s">
        <v>102</v>
      </c>
      <c r="L1008" s="596" t="s">
        <v>418</v>
      </c>
      <c r="M1008" s="596" t="s">
        <v>419</v>
      </c>
      <c r="N1008" s="596" t="s">
        <v>59</v>
      </c>
      <c r="Q1008" s="595"/>
      <c r="R1008" s="484"/>
      <c r="S1008" s="595"/>
      <c r="T1008" s="595"/>
      <c r="U1008" s="595"/>
    </row>
    <row r="1009" spans="2:21" ht="14.1" customHeight="1">
      <c r="B1009" s="951"/>
      <c r="C1009" s="598" t="s">
        <v>227</v>
      </c>
      <c r="D1009" s="967"/>
      <c r="E1009" s="968"/>
      <c r="F1009" s="599"/>
      <c r="G1009" s="972"/>
      <c r="H1009" s="972"/>
      <c r="I1009" s="598" t="s">
        <v>60</v>
      </c>
      <c r="J1009" s="598" t="s">
        <v>61</v>
      </c>
      <c r="K1009" s="598" t="s">
        <v>61</v>
      </c>
      <c r="L1009" s="598" t="s">
        <v>421</v>
      </c>
      <c r="M1009" s="598"/>
      <c r="N1009" s="598" t="s">
        <v>423</v>
      </c>
      <c r="Q1009" s="595"/>
      <c r="R1009" s="484"/>
      <c r="S1009" s="595"/>
      <c r="T1009" s="595"/>
      <c r="U1009" s="595"/>
    </row>
    <row r="1010" spans="2:21" ht="14.1" customHeight="1">
      <c r="B1010" s="951"/>
      <c r="C1010" s="600"/>
      <c r="D1010" s="969"/>
      <c r="E1010" s="970"/>
      <c r="F1010" s="601"/>
      <c r="G1010" s="973"/>
      <c r="H1010" s="973"/>
      <c r="I1010" s="600" t="s">
        <v>61</v>
      </c>
      <c r="J1010" s="602"/>
      <c r="K1010" s="602"/>
      <c r="L1010" s="602"/>
      <c r="M1010" s="602"/>
      <c r="N1010" s="600" t="s">
        <v>61</v>
      </c>
      <c r="Q1010" s="595"/>
      <c r="R1010" s="484"/>
      <c r="S1010" s="595"/>
      <c r="T1010" s="595"/>
      <c r="U1010" s="595"/>
    </row>
    <row r="1011" spans="2:21" ht="14.1" customHeight="1">
      <c r="B1011" s="951"/>
      <c r="C1011" s="596" t="s">
        <v>213</v>
      </c>
      <c r="D1011" s="607" t="s">
        <v>62</v>
      </c>
      <c r="E1011" s="615" t="s">
        <v>487</v>
      </c>
      <c r="F1011" s="615"/>
      <c r="G1011" s="605" t="s">
        <v>29</v>
      </c>
      <c r="H1011" s="616">
        <v>2.9460000000000002</v>
      </c>
      <c r="I1011" s="632">
        <f>'UPH-TNG'!I63/2.78</f>
        <v>43165.467625899284</v>
      </c>
      <c r="J1011" s="491">
        <f>ROUND(H1011*I1011,2)</f>
        <v>127165.47</v>
      </c>
      <c r="K1011" s="492"/>
      <c r="L1011" s="502">
        <f>$L$883</f>
        <v>0.49569999999999997</v>
      </c>
      <c r="M1011" s="494" t="s">
        <v>429</v>
      </c>
      <c r="N1011" s="491">
        <f t="shared" ref="N1011:N1022" si="66">L1011*J1011</f>
        <v>63035.923478999997</v>
      </c>
      <c r="Q1011" s="595"/>
      <c r="R1011" s="484"/>
      <c r="S1011" s="595"/>
      <c r="T1011" s="595"/>
      <c r="U1011" s="595"/>
    </row>
    <row r="1012" spans="2:21" ht="14.1" customHeight="1">
      <c r="B1012" s="951"/>
      <c r="C1012" s="607"/>
      <c r="D1012" s="607"/>
      <c r="E1012" s="615" t="s">
        <v>75</v>
      </c>
      <c r="F1012" s="615"/>
      <c r="G1012" s="605" t="s">
        <v>73</v>
      </c>
      <c r="H1012" s="616">
        <v>9.3000000000000007</v>
      </c>
      <c r="I1012" s="632">
        <f>'UPH-TNG'!$I$104</f>
        <v>1425</v>
      </c>
      <c r="J1012" s="491">
        <f>ROUND(H1012*I1012,2)</f>
        <v>13252.5</v>
      </c>
      <c r="K1012" s="496"/>
      <c r="L1012" s="501">
        <f>$L$163</f>
        <v>0.90890000000000004</v>
      </c>
      <c r="M1012" s="494" t="s">
        <v>429</v>
      </c>
      <c r="N1012" s="491">
        <f t="shared" si="66"/>
        <v>12045.197250000001</v>
      </c>
      <c r="Q1012" s="595"/>
      <c r="R1012" s="484"/>
      <c r="S1012" s="595"/>
      <c r="T1012" s="595"/>
      <c r="U1012" s="595"/>
    </row>
    <row r="1013" spans="2:21" ht="14.1" customHeight="1">
      <c r="B1013" s="951"/>
      <c r="C1013" s="607"/>
      <c r="D1013" s="607"/>
      <c r="E1013" s="615" t="s">
        <v>97</v>
      </c>
      <c r="F1013" s="615"/>
      <c r="G1013" s="605" t="s">
        <v>68</v>
      </c>
      <c r="H1013" s="616">
        <v>1.7999999999999999E-2</v>
      </c>
      <c r="I1013" s="632">
        <f>'UPH-TNG'!$I$107</f>
        <v>280000</v>
      </c>
      <c r="J1013" s="491">
        <f>ROUND(H1013*I1013,2)</f>
        <v>5040</v>
      </c>
      <c r="K1013" s="607"/>
      <c r="L1013" s="502">
        <v>1</v>
      </c>
      <c r="M1013" s="494"/>
      <c r="N1013" s="491">
        <f t="shared" si="66"/>
        <v>5040</v>
      </c>
      <c r="Q1013" s="595"/>
      <c r="R1013" s="484"/>
      <c r="S1013" s="595"/>
      <c r="T1013" s="595"/>
      <c r="U1013" s="595"/>
    </row>
    <row r="1014" spans="2:21" ht="14.1" customHeight="1">
      <c r="B1014" s="951"/>
      <c r="C1014" s="598"/>
      <c r="D1014" s="607"/>
      <c r="E1014" s="615" t="s">
        <v>101</v>
      </c>
      <c r="F1014" s="615"/>
      <c r="G1014" s="605" t="s">
        <v>73</v>
      </c>
      <c r="H1014" s="616">
        <v>0.15</v>
      </c>
      <c r="I1014" s="632">
        <f>'UPH-TNG'!$I$105</f>
        <v>14300</v>
      </c>
      <c r="J1014" s="491">
        <f>ROUND(H1014*I1014,2)</f>
        <v>2145</v>
      </c>
      <c r="K1014" s="602"/>
      <c r="L1014" s="502">
        <v>0</v>
      </c>
      <c r="M1014" s="494"/>
      <c r="N1014" s="491">
        <f t="shared" si="66"/>
        <v>0</v>
      </c>
      <c r="Q1014" s="595"/>
      <c r="R1014" s="484"/>
      <c r="S1014" s="595"/>
      <c r="T1014" s="595"/>
      <c r="U1014" s="595"/>
    </row>
    <row r="1015" spans="2:21" ht="14.1" customHeight="1">
      <c r="B1015" s="951"/>
      <c r="C1015" s="600"/>
      <c r="D1015" s="607"/>
      <c r="E1015" s="612"/>
      <c r="F1015" s="613"/>
      <c r="G1015" s="610"/>
      <c r="H1015" s="614"/>
      <c r="I1015" s="633"/>
      <c r="J1015" s="495"/>
      <c r="K1015" s="491">
        <f>SUM(J1011:J1014)</f>
        <v>147602.97</v>
      </c>
      <c r="L1015" s="502"/>
      <c r="M1015" s="494"/>
      <c r="N1015" s="491">
        <f t="shared" si="66"/>
        <v>0</v>
      </c>
      <c r="Q1015" s="595"/>
      <c r="R1015" s="484"/>
      <c r="S1015" s="595"/>
      <c r="T1015" s="595"/>
      <c r="U1015" s="595"/>
    </row>
    <row r="1016" spans="2:21" ht="14.1" customHeight="1">
      <c r="B1016" s="951"/>
      <c r="C1016" s="596" t="s">
        <v>214</v>
      </c>
      <c r="D1016" s="603" t="s">
        <v>63</v>
      </c>
      <c r="E1016" s="615" t="s">
        <v>69</v>
      </c>
      <c r="F1016" s="615"/>
      <c r="G1016" s="605" t="s">
        <v>66</v>
      </c>
      <c r="H1016" s="616">
        <v>0.45</v>
      </c>
      <c r="I1016" s="632">
        <f>'UPH-TNG'!$I$15</f>
        <v>92000</v>
      </c>
      <c r="J1016" s="491">
        <f>ROUND(H1016*I1016,2)</f>
        <v>41400</v>
      </c>
      <c r="K1016" s="492"/>
      <c r="L1016" s="493">
        <v>1</v>
      </c>
      <c r="M1016" s="493" t="s">
        <v>422</v>
      </c>
      <c r="N1016" s="491">
        <f t="shared" si="66"/>
        <v>41400</v>
      </c>
      <c r="Q1016" s="595"/>
      <c r="R1016" s="484"/>
      <c r="S1016" s="595"/>
      <c r="T1016" s="595"/>
      <c r="U1016" s="595"/>
    </row>
    <row r="1017" spans="2:21" ht="14.1" customHeight="1">
      <c r="B1017" s="951"/>
      <c r="C1017" s="607"/>
      <c r="D1017" s="607"/>
      <c r="E1017" s="615" t="s">
        <v>70</v>
      </c>
      <c r="F1017" s="615"/>
      <c r="G1017" s="605" t="s">
        <v>66</v>
      </c>
      <c r="H1017" s="616">
        <v>0.45</v>
      </c>
      <c r="I1017" s="632">
        <f>'UPH-TNG'!$I$21</f>
        <v>95000</v>
      </c>
      <c r="J1017" s="491">
        <f>ROUND(H1017*I1017,2)</f>
        <v>42750</v>
      </c>
      <c r="K1017" s="496"/>
      <c r="L1017" s="493">
        <v>1</v>
      </c>
      <c r="M1017" s="493" t="s">
        <v>422</v>
      </c>
      <c r="N1017" s="491">
        <f t="shared" si="66"/>
        <v>42750</v>
      </c>
      <c r="Q1017" s="595"/>
      <c r="R1017" s="484"/>
      <c r="S1017" s="595"/>
      <c r="T1017" s="595"/>
      <c r="U1017" s="595"/>
    </row>
    <row r="1018" spans="2:21" ht="14.1" customHeight="1">
      <c r="B1018" s="951"/>
      <c r="C1018" s="607"/>
      <c r="D1018" s="607"/>
      <c r="E1018" s="615" t="s">
        <v>71</v>
      </c>
      <c r="F1018" s="615"/>
      <c r="G1018" s="605" t="s">
        <v>66</v>
      </c>
      <c r="H1018" s="616">
        <v>4.4999999999999998E-2</v>
      </c>
      <c r="I1018" s="617">
        <f>'UPH-TNG'!$I$16</f>
        <v>104000</v>
      </c>
      <c r="J1018" s="491">
        <f>ROUND(H1018*I1018,2)</f>
        <v>4680</v>
      </c>
      <c r="K1018" s="496"/>
      <c r="L1018" s="493">
        <v>1</v>
      </c>
      <c r="M1018" s="493" t="s">
        <v>422</v>
      </c>
      <c r="N1018" s="491">
        <f t="shared" si="66"/>
        <v>4680</v>
      </c>
      <c r="Q1018" s="595"/>
      <c r="R1018" s="484"/>
      <c r="S1018" s="595"/>
      <c r="T1018" s="595"/>
      <c r="U1018" s="595"/>
    </row>
    <row r="1019" spans="2:21" ht="14.1" customHeight="1">
      <c r="B1019" s="951"/>
      <c r="C1019" s="607"/>
      <c r="D1019" s="607"/>
      <c r="E1019" s="615" t="s">
        <v>65</v>
      </c>
      <c r="F1019" s="615"/>
      <c r="G1019" s="605" t="s">
        <v>66</v>
      </c>
      <c r="H1019" s="616">
        <v>4.4999999999999998E-2</v>
      </c>
      <c r="I1019" s="632">
        <f>'UPH-TNG'!$I$20</f>
        <v>98000</v>
      </c>
      <c r="J1019" s="491">
        <f>ROUND(H1019*I1019,2)</f>
        <v>4410</v>
      </c>
      <c r="K1019" s="607"/>
      <c r="L1019" s="493">
        <v>1</v>
      </c>
      <c r="M1019" s="493" t="s">
        <v>422</v>
      </c>
      <c r="N1019" s="491">
        <f t="shared" si="66"/>
        <v>4410</v>
      </c>
      <c r="Q1019" s="595"/>
      <c r="R1019" s="484"/>
      <c r="S1019" s="595"/>
      <c r="T1019" s="595"/>
      <c r="U1019" s="595"/>
    </row>
    <row r="1020" spans="2:21" ht="14.1" customHeight="1">
      <c r="B1020" s="951"/>
      <c r="C1020" s="600"/>
      <c r="D1020" s="602"/>
      <c r="E1020" s="612"/>
      <c r="F1020" s="613"/>
      <c r="G1020" s="610"/>
      <c r="H1020" s="614"/>
      <c r="I1020" s="633"/>
      <c r="J1020" s="495"/>
      <c r="K1020" s="494">
        <f>SUM(J1016:J1019)</f>
        <v>93240</v>
      </c>
      <c r="L1020" s="493"/>
      <c r="M1020" s="494"/>
      <c r="N1020" s="491">
        <f t="shared" si="66"/>
        <v>0</v>
      </c>
      <c r="Q1020" s="595"/>
      <c r="R1020" s="484"/>
      <c r="S1020" s="595"/>
      <c r="T1020" s="595"/>
      <c r="U1020" s="595"/>
    </row>
    <row r="1021" spans="2:21" ht="14.1" customHeight="1">
      <c r="B1021" s="951"/>
      <c r="C1021" s="598" t="s">
        <v>215</v>
      </c>
      <c r="D1021" s="603" t="s">
        <v>212</v>
      </c>
      <c r="E1021" s="615"/>
      <c r="F1021" s="615"/>
      <c r="G1021" s="605"/>
      <c r="H1021" s="616"/>
      <c r="I1021" s="617"/>
      <c r="J1021" s="491"/>
      <c r="K1021" s="492"/>
      <c r="L1021" s="493"/>
      <c r="M1021" s="494"/>
      <c r="N1021" s="491">
        <f t="shared" si="66"/>
        <v>0</v>
      </c>
      <c r="Q1021" s="595"/>
      <c r="R1021" s="484"/>
      <c r="S1021" s="595"/>
      <c r="T1021" s="595"/>
      <c r="U1021" s="595"/>
    </row>
    <row r="1022" spans="2:21" ht="14.1" customHeight="1">
      <c r="B1022" s="951"/>
      <c r="C1022" s="602"/>
      <c r="D1022" s="602"/>
      <c r="E1022" s="612"/>
      <c r="F1022" s="613"/>
      <c r="G1022" s="610"/>
      <c r="H1022" s="614"/>
      <c r="I1022" s="618"/>
      <c r="J1022" s="495"/>
      <c r="K1022" s="494">
        <f>SUM(J1021:J1021)</f>
        <v>0</v>
      </c>
      <c r="L1022" s="493"/>
      <c r="M1022" s="494"/>
      <c r="N1022" s="491">
        <f t="shared" si="66"/>
        <v>0</v>
      </c>
      <c r="Q1022" s="595"/>
      <c r="R1022" s="484"/>
      <c r="S1022" s="595"/>
      <c r="T1022" s="595"/>
      <c r="U1022" s="595"/>
    </row>
    <row r="1023" spans="2:21" ht="14.1" customHeight="1">
      <c r="B1023" s="951"/>
      <c r="C1023" s="600" t="s">
        <v>216</v>
      </c>
      <c r="D1023" s="619" t="s">
        <v>219</v>
      </c>
      <c r="E1023" s="613"/>
      <c r="F1023" s="613"/>
      <c r="G1023" s="610"/>
      <c r="H1023" s="614"/>
      <c r="I1023" s="618"/>
      <c r="J1023" s="497" t="s">
        <v>220</v>
      </c>
      <c r="K1023" s="494">
        <f>K1015+K1020+K1022</f>
        <v>240842.97</v>
      </c>
      <c r="L1023" s="620">
        <f>N1023/K1023</f>
        <v>0.71980976122740892</v>
      </c>
      <c r="M1023" s="497"/>
      <c r="N1023" s="498">
        <f>SUM(N1011:N1022)</f>
        <v>173361.12072900002</v>
      </c>
      <c r="Q1023" s="595"/>
      <c r="R1023" s="484"/>
      <c r="S1023" s="595"/>
      <c r="T1023" s="595"/>
      <c r="U1023" s="595"/>
    </row>
    <row r="1024" spans="2:21" ht="14.1" customHeight="1">
      <c r="B1024" s="951"/>
      <c r="C1024" s="600" t="s">
        <v>217</v>
      </c>
      <c r="D1024" s="619" t="s">
        <v>221</v>
      </c>
      <c r="E1024" s="613"/>
      <c r="F1024" s="499">
        <f>$F$48</f>
        <v>0.1</v>
      </c>
      <c r="G1024" s="605" t="s">
        <v>168</v>
      </c>
      <c r="H1024" s="499">
        <f>$H$48</f>
        <v>0.02</v>
      </c>
      <c r="I1024" s="621" t="s">
        <v>167</v>
      </c>
      <c r="J1024" s="494" t="s">
        <v>216</v>
      </c>
      <c r="K1024" s="500">
        <f>ROUND((K1023*(F1024+H1024)),2)</f>
        <v>28901.16</v>
      </c>
      <c r="L1024" s="494"/>
      <c r="M1024" s="494"/>
      <c r="N1024" s="494"/>
      <c r="Q1024" s="595"/>
      <c r="R1024" s="484"/>
      <c r="S1024" s="595"/>
      <c r="T1024" s="595"/>
      <c r="U1024" s="595"/>
    </row>
    <row r="1025" spans="2:22" ht="14.1" customHeight="1">
      <c r="B1025" s="951"/>
      <c r="C1025" s="622" t="s">
        <v>222</v>
      </c>
      <c r="D1025" s="623" t="s">
        <v>76</v>
      </c>
      <c r="E1025" s="624"/>
      <c r="F1025" s="624"/>
      <c r="G1025" s="624"/>
      <c r="H1025" s="625"/>
      <c r="I1025" s="624"/>
      <c r="J1025" s="626" t="s">
        <v>226</v>
      </c>
      <c r="K1025" s="627">
        <f>SUM(K1023:K1024)</f>
        <v>269744.13</v>
      </c>
      <c r="L1025" s="620"/>
      <c r="M1025" s="626"/>
      <c r="N1025" s="635"/>
      <c r="Q1025" s="595"/>
      <c r="R1025" s="484"/>
      <c r="S1025" s="595"/>
      <c r="T1025" s="595"/>
      <c r="U1025" s="595"/>
    </row>
    <row r="1026" spans="2:22" ht="14.1" customHeight="1">
      <c r="B1026" s="951"/>
      <c r="C1026" s="487"/>
      <c r="D1026" s="628"/>
      <c r="E1026" s="628"/>
      <c r="F1026" s="628"/>
      <c r="G1026" s="628"/>
      <c r="H1026" s="487"/>
      <c r="I1026" s="628"/>
      <c r="J1026" s="629"/>
      <c r="K1026" s="630"/>
      <c r="L1026" s="630"/>
      <c r="M1026" s="630"/>
      <c r="N1026" s="630"/>
      <c r="Q1026" s="595"/>
      <c r="R1026" s="484"/>
      <c r="S1026" s="595"/>
      <c r="T1026" s="595"/>
      <c r="U1026" s="595"/>
    </row>
    <row r="1027" spans="2:22" ht="14.1" hidden="1" customHeight="1">
      <c r="B1027" s="951">
        <f>B1006+1</f>
        <v>52</v>
      </c>
      <c r="C1027" s="488"/>
      <c r="D1027" s="485" t="s">
        <v>591</v>
      </c>
      <c r="E1027" s="485"/>
      <c r="F1027" s="485"/>
      <c r="G1027" s="485"/>
      <c r="H1027" s="488"/>
      <c r="I1027" s="485"/>
      <c r="J1027" s="485"/>
      <c r="K1027" s="591" t="s">
        <v>239</v>
      </c>
      <c r="L1027" s="591"/>
      <c r="M1027" s="591"/>
      <c r="N1027" s="591"/>
      <c r="O1027" s="506" t="str">
        <f>D1028</f>
        <v>m2</v>
      </c>
      <c r="P1027" s="682">
        <f>K1046</f>
        <v>235275.6</v>
      </c>
      <c r="Q1027" s="593">
        <f>L1044</f>
        <v>0.89886915991288519</v>
      </c>
      <c r="R1027" s="484">
        <f>N1044</f>
        <v>188823.19725</v>
      </c>
      <c r="S1027" s="594"/>
      <c r="T1027" s="484"/>
      <c r="U1027" s="593"/>
    </row>
    <row r="1028" spans="2:22" ht="14.1" hidden="1" customHeight="1">
      <c r="B1028" s="951"/>
      <c r="C1028" s="488"/>
      <c r="D1028" s="485" t="s">
        <v>100</v>
      </c>
      <c r="E1028" s="485"/>
      <c r="F1028" s="485"/>
      <c r="G1028" s="485"/>
      <c r="H1028" s="488"/>
      <c r="I1028" s="485"/>
      <c r="J1028" s="485"/>
      <c r="K1028" s="485"/>
      <c r="L1028" s="485"/>
      <c r="M1028" s="485"/>
      <c r="N1028" s="485"/>
      <c r="Q1028" s="595"/>
      <c r="R1028" s="484"/>
      <c r="S1028" s="595"/>
      <c r="T1028" s="595"/>
      <c r="U1028" s="595"/>
    </row>
    <row r="1029" spans="2:22" ht="14.1" hidden="1" customHeight="1">
      <c r="B1029" s="951"/>
      <c r="C1029" s="596"/>
      <c r="D1029" s="975" t="s">
        <v>55</v>
      </c>
      <c r="E1029" s="976"/>
      <c r="F1029" s="597"/>
      <c r="G1029" s="974" t="s">
        <v>56</v>
      </c>
      <c r="H1029" s="974" t="s">
        <v>57</v>
      </c>
      <c r="I1029" s="596" t="s">
        <v>58</v>
      </c>
      <c r="J1029" s="596" t="s">
        <v>59</v>
      </c>
      <c r="K1029" s="596" t="s">
        <v>102</v>
      </c>
      <c r="L1029" s="596" t="s">
        <v>418</v>
      </c>
      <c r="M1029" s="596" t="s">
        <v>419</v>
      </c>
      <c r="N1029" s="596" t="s">
        <v>59</v>
      </c>
      <c r="Q1029" s="595"/>
      <c r="R1029" s="484"/>
      <c r="S1029" s="595"/>
      <c r="T1029" s="595"/>
      <c r="U1029" s="595"/>
    </row>
    <row r="1030" spans="2:22" ht="14.1" hidden="1" customHeight="1">
      <c r="B1030" s="951"/>
      <c r="C1030" s="598" t="s">
        <v>227</v>
      </c>
      <c r="D1030" s="967"/>
      <c r="E1030" s="968"/>
      <c r="F1030" s="599"/>
      <c r="G1030" s="972"/>
      <c r="H1030" s="972"/>
      <c r="I1030" s="598" t="s">
        <v>60</v>
      </c>
      <c r="J1030" s="598" t="s">
        <v>61</v>
      </c>
      <c r="K1030" s="598" t="s">
        <v>61</v>
      </c>
      <c r="L1030" s="598" t="s">
        <v>421</v>
      </c>
      <c r="M1030" s="598"/>
      <c r="N1030" s="598" t="s">
        <v>423</v>
      </c>
      <c r="Q1030" s="595"/>
      <c r="R1030" s="484"/>
      <c r="S1030" s="595"/>
      <c r="T1030" s="595"/>
      <c r="U1030" s="595"/>
    </row>
    <row r="1031" spans="2:22" ht="14.1" hidden="1" customHeight="1">
      <c r="B1031" s="951"/>
      <c r="C1031" s="600"/>
      <c r="D1031" s="969"/>
      <c r="E1031" s="970"/>
      <c r="F1031" s="601"/>
      <c r="G1031" s="973"/>
      <c r="H1031" s="973"/>
      <c r="I1031" s="600" t="s">
        <v>61</v>
      </c>
      <c r="J1031" s="602"/>
      <c r="K1031" s="602"/>
      <c r="L1031" s="602"/>
      <c r="M1031" s="602"/>
      <c r="N1031" s="600" t="s">
        <v>61</v>
      </c>
      <c r="Q1031" s="595"/>
      <c r="R1031" s="484"/>
      <c r="S1031" s="595"/>
      <c r="T1031" s="595"/>
      <c r="U1031" s="595"/>
    </row>
    <row r="1032" spans="2:22" ht="14.1" hidden="1" customHeight="1">
      <c r="B1032" s="951"/>
      <c r="C1032" s="596" t="s">
        <v>213</v>
      </c>
      <c r="D1032" s="607" t="s">
        <v>62</v>
      </c>
      <c r="E1032" s="615" t="s">
        <v>592</v>
      </c>
      <c r="F1032" s="615"/>
      <c r="G1032" s="605" t="s">
        <v>100</v>
      </c>
      <c r="H1032" s="616">
        <v>1.05</v>
      </c>
      <c r="I1032" s="632">
        <f>+'UPH-TNG'!$I$80</f>
        <v>100000</v>
      </c>
      <c r="J1032" s="491">
        <f>ROUND(H1032*I1032,2)</f>
        <v>105000</v>
      </c>
      <c r="K1032" s="492"/>
      <c r="L1032" s="502">
        <v>0.8296</v>
      </c>
      <c r="M1032" s="494" t="s">
        <v>429</v>
      </c>
      <c r="N1032" s="491">
        <f t="shared" ref="N1032:N1043" si="67">L1032*J1032</f>
        <v>87108</v>
      </c>
      <c r="P1032" s="506">
        <v>1.05</v>
      </c>
      <c r="Q1032" s="595"/>
      <c r="R1032" s="484"/>
      <c r="S1032" s="595"/>
      <c r="T1032" s="595"/>
      <c r="U1032" s="595"/>
      <c r="V1032" s="506">
        <f>1/(0.3*0.6)</f>
        <v>5.5555555555555554</v>
      </c>
    </row>
    <row r="1033" spans="2:22" ht="14.1" hidden="1" customHeight="1">
      <c r="B1033" s="951"/>
      <c r="C1033" s="598"/>
      <c r="D1033" s="607"/>
      <c r="E1033" s="615" t="s">
        <v>75</v>
      </c>
      <c r="F1033" s="615"/>
      <c r="G1033" s="605" t="s">
        <v>73</v>
      </c>
      <c r="H1033" s="616">
        <v>9.3000000000000007</v>
      </c>
      <c r="I1033" s="632">
        <f>'UPH-TNG'!$I$104</f>
        <v>1425</v>
      </c>
      <c r="J1033" s="491">
        <f>ROUND(H1033*I1033,2)</f>
        <v>13252.5</v>
      </c>
      <c r="K1033" s="496"/>
      <c r="L1033" s="501">
        <f>$L$163</f>
        <v>0.90890000000000004</v>
      </c>
      <c r="M1033" s="494" t="s">
        <v>429</v>
      </c>
      <c r="N1033" s="491">
        <f t="shared" si="67"/>
        <v>12045.197250000001</v>
      </c>
      <c r="P1033" s="506">
        <f>P1032*V1032</f>
        <v>5.833333333333333</v>
      </c>
      <c r="Q1033" s="595"/>
      <c r="R1033" s="484"/>
      <c r="S1033" s="595"/>
      <c r="T1033" s="595"/>
      <c r="U1033" s="595"/>
    </row>
    <row r="1034" spans="2:22" ht="14.1" hidden="1" customHeight="1">
      <c r="B1034" s="951"/>
      <c r="C1034" s="607"/>
      <c r="D1034" s="607"/>
      <c r="E1034" s="615" t="s">
        <v>97</v>
      </c>
      <c r="F1034" s="615"/>
      <c r="G1034" s="605" t="s">
        <v>68</v>
      </c>
      <c r="H1034" s="616">
        <v>1.7999999999999999E-2</v>
      </c>
      <c r="I1034" s="632">
        <f>'UPH-TNG'!$I$107</f>
        <v>280000</v>
      </c>
      <c r="J1034" s="491">
        <f>ROUND(H1034*I1034,2)</f>
        <v>5040</v>
      </c>
      <c r="K1034" s="607"/>
      <c r="L1034" s="502">
        <v>1</v>
      </c>
      <c r="M1034" s="494"/>
      <c r="N1034" s="491">
        <f t="shared" si="67"/>
        <v>5040</v>
      </c>
      <c r="Q1034" s="595"/>
      <c r="R1034" s="484"/>
      <c r="S1034" s="595"/>
      <c r="T1034" s="595"/>
      <c r="U1034" s="595"/>
    </row>
    <row r="1035" spans="2:22" ht="14.1" hidden="1" customHeight="1">
      <c r="B1035" s="951"/>
      <c r="C1035" s="607"/>
      <c r="D1035" s="607"/>
      <c r="E1035" s="615" t="s">
        <v>101</v>
      </c>
      <c r="F1035" s="615"/>
      <c r="G1035" s="605" t="s">
        <v>73</v>
      </c>
      <c r="H1035" s="616">
        <v>0.15</v>
      </c>
      <c r="I1035" s="632">
        <f>'UPH-TNG'!$I$105</f>
        <v>14300</v>
      </c>
      <c r="J1035" s="491">
        <f>ROUND(H1035*I1035,2)</f>
        <v>2145</v>
      </c>
      <c r="K1035" s="602"/>
      <c r="L1035" s="502">
        <v>0</v>
      </c>
      <c r="M1035" s="494"/>
      <c r="N1035" s="491">
        <f t="shared" si="67"/>
        <v>0</v>
      </c>
      <c r="Q1035" s="595"/>
      <c r="R1035" s="484"/>
      <c r="S1035" s="595"/>
      <c r="T1035" s="595"/>
      <c r="U1035" s="595"/>
    </row>
    <row r="1036" spans="2:22" ht="14.1" hidden="1" customHeight="1">
      <c r="B1036" s="951"/>
      <c r="C1036" s="600"/>
      <c r="D1036" s="607"/>
      <c r="E1036" s="612"/>
      <c r="F1036" s="613"/>
      <c r="G1036" s="610"/>
      <c r="H1036" s="614"/>
      <c r="I1036" s="633"/>
      <c r="J1036" s="495"/>
      <c r="K1036" s="491">
        <f>SUM(J1032:J1035)</f>
        <v>125437.5</v>
      </c>
      <c r="L1036" s="502"/>
      <c r="M1036" s="494"/>
      <c r="N1036" s="491">
        <f t="shared" si="67"/>
        <v>0</v>
      </c>
      <c r="Q1036" s="595"/>
      <c r="R1036" s="484"/>
      <c r="S1036" s="595"/>
      <c r="T1036" s="595"/>
      <c r="U1036" s="595"/>
    </row>
    <row r="1037" spans="2:22" ht="14.1" hidden="1" customHeight="1">
      <c r="B1037" s="951"/>
      <c r="C1037" s="596" t="s">
        <v>214</v>
      </c>
      <c r="D1037" s="603" t="s">
        <v>63</v>
      </c>
      <c r="E1037" s="615" t="s">
        <v>69</v>
      </c>
      <c r="F1037" s="615"/>
      <c r="G1037" s="605" t="s">
        <v>66</v>
      </c>
      <c r="H1037" s="616">
        <v>0.4</v>
      </c>
      <c r="I1037" s="632">
        <f>'UPH-TNG'!$I$15</f>
        <v>92000</v>
      </c>
      <c r="J1037" s="491">
        <f>ROUND(H1037*I1037,2)</f>
        <v>36800</v>
      </c>
      <c r="K1037" s="492"/>
      <c r="L1037" s="493">
        <v>1</v>
      </c>
      <c r="M1037" s="493" t="s">
        <v>422</v>
      </c>
      <c r="N1037" s="491">
        <f t="shared" si="67"/>
        <v>36800</v>
      </c>
      <c r="Q1037" s="595"/>
      <c r="R1037" s="484"/>
      <c r="S1037" s="595"/>
      <c r="T1037" s="595"/>
      <c r="U1037" s="595"/>
    </row>
    <row r="1038" spans="2:22" ht="14.1" hidden="1" customHeight="1">
      <c r="B1038" s="951"/>
      <c r="C1038" s="598"/>
      <c r="D1038" s="607"/>
      <c r="E1038" s="615" t="s">
        <v>70</v>
      </c>
      <c r="F1038" s="615"/>
      <c r="G1038" s="605" t="s">
        <v>66</v>
      </c>
      <c r="H1038" s="616">
        <v>0.45</v>
      </c>
      <c r="I1038" s="632">
        <f>'UPH-TNG'!$I$21</f>
        <v>95000</v>
      </c>
      <c r="J1038" s="491">
        <f>ROUND(H1038*I1038,2)</f>
        <v>42750</v>
      </c>
      <c r="K1038" s="496"/>
      <c r="L1038" s="493">
        <v>1</v>
      </c>
      <c r="M1038" s="493" t="s">
        <v>422</v>
      </c>
      <c r="N1038" s="491">
        <f t="shared" si="67"/>
        <v>42750</v>
      </c>
      <c r="Q1038" s="595"/>
      <c r="R1038" s="484"/>
      <c r="S1038" s="595"/>
      <c r="T1038" s="595"/>
      <c r="U1038" s="595"/>
    </row>
    <row r="1039" spans="2:22" ht="14.1" hidden="1" customHeight="1">
      <c r="B1039" s="951"/>
      <c r="C1039" s="607"/>
      <c r="D1039" s="607"/>
      <c r="E1039" s="615" t="s">
        <v>71</v>
      </c>
      <c r="F1039" s="615"/>
      <c r="G1039" s="605" t="s">
        <v>66</v>
      </c>
      <c r="H1039" s="616">
        <v>0.03</v>
      </c>
      <c r="I1039" s="617">
        <f>'UPH-TNG'!$I$16</f>
        <v>104000</v>
      </c>
      <c r="J1039" s="491">
        <f>ROUND(H1039*I1039,2)</f>
        <v>3120</v>
      </c>
      <c r="K1039" s="496"/>
      <c r="L1039" s="493">
        <v>1</v>
      </c>
      <c r="M1039" s="493" t="s">
        <v>422</v>
      </c>
      <c r="N1039" s="491">
        <f t="shared" si="67"/>
        <v>3120</v>
      </c>
      <c r="Q1039" s="595"/>
      <c r="R1039" s="484"/>
      <c r="S1039" s="595"/>
      <c r="T1039" s="595"/>
      <c r="U1039" s="595"/>
    </row>
    <row r="1040" spans="2:22" ht="14.1" hidden="1" customHeight="1">
      <c r="B1040" s="951"/>
      <c r="C1040" s="607"/>
      <c r="D1040" s="607"/>
      <c r="E1040" s="615" t="s">
        <v>65</v>
      </c>
      <c r="F1040" s="615"/>
      <c r="G1040" s="605" t="s">
        <v>66</v>
      </c>
      <c r="H1040" s="616">
        <v>0.02</v>
      </c>
      <c r="I1040" s="632">
        <f>'UPH-TNG'!$I$20</f>
        <v>98000</v>
      </c>
      <c r="J1040" s="491">
        <f>ROUND(H1040*I1040,2)</f>
        <v>1960</v>
      </c>
      <c r="K1040" s="607"/>
      <c r="L1040" s="493">
        <v>1</v>
      </c>
      <c r="M1040" s="493" t="s">
        <v>422</v>
      </c>
      <c r="N1040" s="491">
        <f t="shared" si="67"/>
        <v>1960</v>
      </c>
      <c r="Q1040" s="595"/>
      <c r="R1040" s="484"/>
      <c r="S1040" s="595"/>
      <c r="T1040" s="595"/>
      <c r="U1040" s="595"/>
    </row>
    <row r="1041" spans="2:23" ht="14.1" hidden="1" customHeight="1">
      <c r="B1041" s="951"/>
      <c r="C1041" s="600"/>
      <c r="D1041" s="602"/>
      <c r="E1041" s="612"/>
      <c r="F1041" s="613"/>
      <c r="G1041" s="610"/>
      <c r="H1041" s="614"/>
      <c r="I1041" s="633"/>
      <c r="J1041" s="495"/>
      <c r="K1041" s="494">
        <f>SUM(J1037:J1040)</f>
        <v>84630</v>
      </c>
      <c r="L1041" s="493"/>
      <c r="M1041" s="494"/>
      <c r="N1041" s="491">
        <f t="shared" si="67"/>
        <v>0</v>
      </c>
      <c r="Q1041" s="595"/>
      <c r="R1041" s="484"/>
      <c r="S1041" s="595"/>
      <c r="T1041" s="595"/>
      <c r="U1041" s="595"/>
    </row>
    <row r="1042" spans="2:23" ht="14.1" hidden="1" customHeight="1">
      <c r="B1042" s="951"/>
      <c r="C1042" s="598" t="s">
        <v>215</v>
      </c>
      <c r="D1042" s="603" t="s">
        <v>212</v>
      </c>
      <c r="E1042" s="615"/>
      <c r="F1042" s="615"/>
      <c r="G1042" s="605"/>
      <c r="H1042" s="616"/>
      <c r="I1042" s="617"/>
      <c r="J1042" s="491"/>
      <c r="K1042" s="492"/>
      <c r="L1042" s="493"/>
      <c r="M1042" s="494"/>
      <c r="N1042" s="491">
        <f t="shared" si="67"/>
        <v>0</v>
      </c>
      <c r="Q1042" s="595"/>
      <c r="R1042" s="484"/>
      <c r="S1042" s="595"/>
      <c r="T1042" s="595"/>
      <c r="U1042" s="595"/>
    </row>
    <row r="1043" spans="2:23" ht="14.1" hidden="1" customHeight="1">
      <c r="B1043" s="951"/>
      <c r="C1043" s="600"/>
      <c r="D1043" s="602"/>
      <c r="E1043" s="612"/>
      <c r="F1043" s="613"/>
      <c r="G1043" s="610"/>
      <c r="H1043" s="614"/>
      <c r="I1043" s="618"/>
      <c r="J1043" s="495"/>
      <c r="K1043" s="494">
        <f>SUM(J1042:J1042)</f>
        <v>0</v>
      </c>
      <c r="L1043" s="493"/>
      <c r="M1043" s="494"/>
      <c r="N1043" s="491">
        <f t="shared" si="67"/>
        <v>0</v>
      </c>
      <c r="Q1043" s="595"/>
      <c r="R1043" s="484"/>
      <c r="S1043" s="595"/>
      <c r="T1043" s="595"/>
      <c r="U1043" s="595"/>
    </row>
    <row r="1044" spans="2:23" ht="14.1" hidden="1" customHeight="1">
      <c r="B1044" s="951"/>
      <c r="C1044" s="600" t="s">
        <v>216</v>
      </c>
      <c r="D1044" s="619" t="s">
        <v>219</v>
      </c>
      <c r="E1044" s="613"/>
      <c r="F1044" s="613"/>
      <c r="G1044" s="610"/>
      <c r="H1044" s="614"/>
      <c r="I1044" s="618"/>
      <c r="J1044" s="497" t="s">
        <v>220</v>
      </c>
      <c r="K1044" s="494">
        <f>K1036+K1041+K1043</f>
        <v>210067.5</v>
      </c>
      <c r="L1044" s="620">
        <f>N1044/K1044</f>
        <v>0.89886915991288519</v>
      </c>
      <c r="M1044" s="497"/>
      <c r="N1044" s="498">
        <f>SUM(N1032:N1043)</f>
        <v>188823.19725</v>
      </c>
      <c r="Q1044" s="595"/>
      <c r="R1044" s="484"/>
      <c r="S1044" s="595"/>
      <c r="T1044" s="595"/>
      <c r="U1044" s="595"/>
    </row>
    <row r="1045" spans="2:23" ht="14.1" hidden="1" customHeight="1">
      <c r="B1045" s="951"/>
      <c r="C1045" s="600" t="s">
        <v>217</v>
      </c>
      <c r="D1045" s="619" t="s">
        <v>221</v>
      </c>
      <c r="E1045" s="613"/>
      <c r="F1045" s="499">
        <f>$F$48</f>
        <v>0.1</v>
      </c>
      <c r="G1045" s="605" t="s">
        <v>168</v>
      </c>
      <c r="H1045" s="499">
        <f>$H$48</f>
        <v>0.02</v>
      </c>
      <c r="I1045" s="621" t="s">
        <v>167</v>
      </c>
      <c r="J1045" s="494" t="s">
        <v>216</v>
      </c>
      <c r="K1045" s="500">
        <f>ROUND((K1044*(F1045+H1045)),2)</f>
        <v>25208.1</v>
      </c>
      <c r="L1045" s="494"/>
      <c r="M1045" s="494"/>
      <c r="N1045" s="494"/>
      <c r="Q1045" s="595"/>
      <c r="R1045" s="484"/>
      <c r="S1045" s="595"/>
      <c r="T1045" s="595"/>
      <c r="U1045" s="595"/>
    </row>
    <row r="1046" spans="2:23" ht="14.1" hidden="1" customHeight="1">
      <c r="B1046" s="951"/>
      <c r="C1046" s="622" t="s">
        <v>222</v>
      </c>
      <c r="D1046" s="623" t="s">
        <v>76</v>
      </c>
      <c r="E1046" s="624"/>
      <c r="F1046" s="624"/>
      <c r="G1046" s="624"/>
      <c r="H1046" s="625"/>
      <c r="I1046" s="624"/>
      <c r="J1046" s="626" t="s">
        <v>226</v>
      </c>
      <c r="K1046" s="627">
        <f>SUM(K1044:K1045)</f>
        <v>235275.6</v>
      </c>
      <c r="L1046" s="620"/>
      <c r="M1046" s="626"/>
      <c r="N1046" s="635"/>
      <c r="Q1046" s="595"/>
      <c r="R1046" s="484"/>
      <c r="S1046" s="595"/>
      <c r="T1046" s="595"/>
      <c r="U1046" s="595"/>
    </row>
    <row r="1047" spans="2:23" hidden="1">
      <c r="Q1047" s="595"/>
      <c r="R1047" s="484"/>
      <c r="S1047" s="595"/>
      <c r="T1047" s="595"/>
      <c r="U1047" s="595"/>
    </row>
    <row r="1048" spans="2:23" s="485" customFormat="1" ht="14.1" hidden="1" customHeight="1">
      <c r="B1048" s="951">
        <f>B1027+1</f>
        <v>53</v>
      </c>
      <c r="C1048" s="488"/>
      <c r="D1048" s="506" t="s">
        <v>559</v>
      </c>
      <c r="H1048" s="488"/>
      <c r="K1048" s="591" t="s">
        <v>239</v>
      </c>
      <c r="L1048" s="591"/>
      <c r="M1048" s="591"/>
      <c r="N1048" s="591"/>
      <c r="O1048" s="485" t="str">
        <f>D1049</f>
        <v>m'</v>
      </c>
      <c r="P1048" s="636">
        <f>K1067</f>
        <v>48597.36</v>
      </c>
      <c r="Q1048" s="593">
        <f>L1065</f>
        <v>0.47412470586879618</v>
      </c>
      <c r="R1048" s="484">
        <f>N1065</f>
        <v>20572.50805</v>
      </c>
      <c r="S1048" s="594"/>
      <c r="T1048" s="484"/>
      <c r="U1048" s="593"/>
    </row>
    <row r="1049" spans="2:23" s="485" customFormat="1" ht="14.1" hidden="1" customHeight="1">
      <c r="B1049" s="951"/>
      <c r="C1049" s="488"/>
      <c r="D1049" s="485" t="s">
        <v>32</v>
      </c>
      <c r="H1049" s="488"/>
      <c r="Q1049" s="595"/>
      <c r="R1049" s="484"/>
      <c r="S1049" s="595"/>
      <c r="T1049" s="595"/>
      <c r="U1049" s="595"/>
    </row>
    <row r="1050" spans="2:23" s="485" customFormat="1" ht="14.1" hidden="1" customHeight="1">
      <c r="B1050" s="951"/>
      <c r="C1050" s="596"/>
      <c r="D1050" s="975" t="s">
        <v>55</v>
      </c>
      <c r="E1050" s="976"/>
      <c r="F1050" s="597"/>
      <c r="G1050" s="974" t="s">
        <v>56</v>
      </c>
      <c r="H1050" s="974" t="s">
        <v>57</v>
      </c>
      <c r="I1050" s="596" t="s">
        <v>58</v>
      </c>
      <c r="J1050" s="596" t="s">
        <v>59</v>
      </c>
      <c r="K1050" s="596" t="s">
        <v>102</v>
      </c>
      <c r="L1050" s="596" t="s">
        <v>418</v>
      </c>
      <c r="M1050" s="596" t="s">
        <v>419</v>
      </c>
      <c r="N1050" s="596" t="s">
        <v>59</v>
      </c>
      <c r="Q1050" s="595"/>
      <c r="R1050" s="484"/>
      <c r="S1050" s="595"/>
      <c r="T1050" s="595"/>
      <c r="U1050" s="595"/>
    </row>
    <row r="1051" spans="2:23" s="485" customFormat="1" ht="14.1" hidden="1" customHeight="1">
      <c r="B1051" s="951"/>
      <c r="C1051" s="598" t="s">
        <v>227</v>
      </c>
      <c r="D1051" s="967"/>
      <c r="E1051" s="968"/>
      <c r="F1051" s="599"/>
      <c r="G1051" s="972"/>
      <c r="H1051" s="972"/>
      <c r="I1051" s="598" t="s">
        <v>60</v>
      </c>
      <c r="J1051" s="598" t="s">
        <v>61</v>
      </c>
      <c r="K1051" s="598" t="s">
        <v>61</v>
      </c>
      <c r="L1051" s="598" t="s">
        <v>421</v>
      </c>
      <c r="M1051" s="598"/>
      <c r="N1051" s="598" t="s">
        <v>423</v>
      </c>
      <c r="Q1051" s="595"/>
      <c r="R1051" s="484"/>
      <c r="S1051" s="595"/>
      <c r="T1051" s="595"/>
      <c r="U1051" s="595"/>
    </row>
    <row r="1052" spans="2:23" s="485" customFormat="1" ht="14.1" hidden="1" customHeight="1">
      <c r="B1052" s="951"/>
      <c r="C1052" s="600"/>
      <c r="D1052" s="969"/>
      <c r="E1052" s="970"/>
      <c r="F1052" s="601"/>
      <c r="G1052" s="973"/>
      <c r="H1052" s="973"/>
      <c r="I1052" s="600" t="s">
        <v>61</v>
      </c>
      <c r="J1052" s="602"/>
      <c r="K1052" s="602"/>
      <c r="L1052" s="602"/>
      <c r="M1052" s="602"/>
      <c r="N1052" s="600" t="s">
        <v>61</v>
      </c>
      <c r="Q1052" s="595"/>
      <c r="R1052" s="484"/>
      <c r="S1052" s="595"/>
      <c r="T1052" s="595"/>
      <c r="U1052" s="595"/>
    </row>
    <row r="1053" spans="2:23" s="485" customFormat="1" ht="14.1" hidden="1" customHeight="1">
      <c r="B1053" s="951"/>
      <c r="C1053" s="596" t="s">
        <v>213</v>
      </c>
      <c r="D1053" s="607" t="s">
        <v>62</v>
      </c>
      <c r="E1053" s="615" t="s">
        <v>560</v>
      </c>
      <c r="F1053" s="615"/>
      <c r="G1053" s="605" t="s">
        <v>29</v>
      </c>
      <c r="H1053" s="616">
        <v>2.625</v>
      </c>
      <c r="I1053" s="491">
        <f>'UPH-TNG'!I81</f>
        <v>8500</v>
      </c>
      <c r="J1053" s="491">
        <f>ROUND(H1053*I1053,2)</f>
        <v>22312.5</v>
      </c>
      <c r="K1053" s="492"/>
      <c r="L1053" s="502">
        <v>0</v>
      </c>
      <c r="M1053" s="494"/>
      <c r="N1053" s="491">
        <f t="shared" ref="N1053:N1064" si="68">L1053*J1053</f>
        <v>0</v>
      </c>
      <c r="P1053" s="485">
        <f>1/0.4</f>
        <v>2.5</v>
      </c>
      <c r="Q1053" s="595"/>
      <c r="R1053" s="484"/>
      <c r="S1053" s="595"/>
      <c r="T1053" s="595"/>
      <c r="U1053" s="595"/>
      <c r="V1053" s="485">
        <v>1.05</v>
      </c>
      <c r="W1053" s="485">
        <f>P1053*V1053</f>
        <v>2.625</v>
      </c>
    </row>
    <row r="1054" spans="2:23" s="485" customFormat="1" ht="14.1" hidden="1" customHeight="1">
      <c r="B1054" s="951"/>
      <c r="C1054" s="607"/>
      <c r="D1054" s="607"/>
      <c r="E1054" s="615" t="s">
        <v>75</v>
      </c>
      <c r="F1054" s="615"/>
      <c r="G1054" s="605" t="s">
        <v>73</v>
      </c>
      <c r="H1054" s="616">
        <v>1.1399999999999999</v>
      </c>
      <c r="I1054" s="632">
        <f>'UPH-TNG'!$I$104</f>
        <v>1425</v>
      </c>
      <c r="J1054" s="491">
        <f>ROUND(H1054*I1054,2)</f>
        <v>1624.5</v>
      </c>
      <c r="K1054" s="496"/>
      <c r="L1054" s="501">
        <f>$L$163</f>
        <v>0.90890000000000004</v>
      </c>
      <c r="M1054" s="494" t="s">
        <v>429</v>
      </c>
      <c r="N1054" s="491">
        <f t="shared" si="68"/>
        <v>1476.5080500000001</v>
      </c>
      <c r="Q1054" s="595"/>
      <c r="R1054" s="484"/>
      <c r="S1054" s="595"/>
      <c r="T1054" s="595"/>
      <c r="U1054" s="595"/>
    </row>
    <row r="1055" spans="2:23" s="485" customFormat="1" ht="14.1" hidden="1" customHeight="1">
      <c r="B1055" s="951"/>
      <c r="C1055" s="607"/>
      <c r="D1055" s="607"/>
      <c r="E1055" s="615" t="s">
        <v>97</v>
      </c>
      <c r="F1055" s="615"/>
      <c r="G1055" s="605" t="s">
        <v>68</v>
      </c>
      <c r="H1055" s="656">
        <v>3.0000000000000001E-3</v>
      </c>
      <c r="I1055" s="632">
        <f>'UPH-TNG'!$I$107</f>
        <v>280000</v>
      </c>
      <c r="J1055" s="491">
        <f>ROUND(H1055*I1055,2)</f>
        <v>840</v>
      </c>
      <c r="K1055" s="607"/>
      <c r="L1055" s="502">
        <v>1</v>
      </c>
      <c r="M1055" s="494"/>
      <c r="N1055" s="491">
        <f t="shared" si="68"/>
        <v>840</v>
      </c>
      <c r="Q1055" s="595"/>
      <c r="R1055" s="484"/>
      <c r="S1055" s="595"/>
      <c r="T1055" s="595"/>
      <c r="U1055" s="595"/>
    </row>
    <row r="1056" spans="2:23" s="485" customFormat="1" ht="14.1" hidden="1" customHeight="1">
      <c r="B1056" s="951"/>
      <c r="C1056" s="598"/>
      <c r="D1056" s="607"/>
      <c r="E1056" s="615" t="s">
        <v>101</v>
      </c>
      <c r="F1056" s="615"/>
      <c r="G1056" s="605" t="s">
        <v>73</v>
      </c>
      <c r="H1056" s="616">
        <v>2.5000000000000001E-2</v>
      </c>
      <c r="I1056" s="632">
        <f>'UPH-TNG'!$I$105</f>
        <v>14300</v>
      </c>
      <c r="J1056" s="491">
        <f>ROUND(H1056*I1056,2)</f>
        <v>357.5</v>
      </c>
      <c r="K1056" s="602"/>
      <c r="L1056" s="502">
        <v>0</v>
      </c>
      <c r="M1056" s="494"/>
      <c r="N1056" s="491">
        <f t="shared" si="68"/>
        <v>0</v>
      </c>
      <c r="Q1056" s="595"/>
      <c r="R1056" s="484"/>
      <c r="S1056" s="595"/>
      <c r="T1056" s="595"/>
      <c r="U1056" s="595"/>
    </row>
    <row r="1057" spans="2:21" s="485" customFormat="1" ht="14.1" hidden="1" customHeight="1">
      <c r="B1057" s="951"/>
      <c r="C1057" s="600"/>
      <c r="D1057" s="607"/>
      <c r="E1057" s="612"/>
      <c r="F1057" s="613"/>
      <c r="G1057" s="610"/>
      <c r="H1057" s="614"/>
      <c r="I1057" s="633"/>
      <c r="J1057" s="495"/>
      <c r="K1057" s="491">
        <f>SUM(J1053:J1056)</f>
        <v>25134.5</v>
      </c>
      <c r="L1057" s="502"/>
      <c r="M1057" s="494"/>
      <c r="N1057" s="491">
        <f t="shared" si="68"/>
        <v>0</v>
      </c>
      <c r="Q1057" s="595"/>
      <c r="R1057" s="484"/>
      <c r="S1057" s="595"/>
      <c r="T1057" s="595"/>
      <c r="U1057" s="595"/>
    </row>
    <row r="1058" spans="2:21" s="485" customFormat="1" ht="14.1" hidden="1" customHeight="1">
      <c r="B1058" s="951"/>
      <c r="C1058" s="596" t="s">
        <v>214</v>
      </c>
      <c r="D1058" s="603" t="s">
        <v>63</v>
      </c>
      <c r="E1058" s="615" t="s">
        <v>69</v>
      </c>
      <c r="F1058" s="615"/>
      <c r="G1058" s="605" t="s">
        <v>66</v>
      </c>
      <c r="H1058" s="616">
        <v>0.09</v>
      </c>
      <c r="I1058" s="632">
        <f>'UPH-TNG'!$I$15</f>
        <v>92000</v>
      </c>
      <c r="J1058" s="491">
        <f>ROUND(H1058*I1058,2)</f>
        <v>8280</v>
      </c>
      <c r="K1058" s="492"/>
      <c r="L1058" s="493">
        <v>1</v>
      </c>
      <c r="M1058" s="493" t="s">
        <v>422</v>
      </c>
      <c r="N1058" s="491">
        <f t="shared" si="68"/>
        <v>8280</v>
      </c>
      <c r="Q1058" s="595"/>
      <c r="R1058" s="484"/>
      <c r="S1058" s="595"/>
      <c r="T1058" s="595"/>
      <c r="U1058" s="595"/>
    </row>
    <row r="1059" spans="2:21" s="485" customFormat="1" ht="14.1" hidden="1" customHeight="1">
      <c r="B1059" s="951"/>
      <c r="C1059" s="607"/>
      <c r="D1059" s="607"/>
      <c r="E1059" s="615" t="s">
        <v>70</v>
      </c>
      <c r="F1059" s="615"/>
      <c r="G1059" s="605" t="s">
        <v>66</v>
      </c>
      <c r="H1059" s="616">
        <v>0.09</v>
      </c>
      <c r="I1059" s="632">
        <f>'UPH-TNG'!$I$21</f>
        <v>95000</v>
      </c>
      <c r="J1059" s="491">
        <f>ROUND(H1059*I1059,2)</f>
        <v>8550</v>
      </c>
      <c r="K1059" s="496"/>
      <c r="L1059" s="493">
        <v>1</v>
      </c>
      <c r="M1059" s="493" t="s">
        <v>422</v>
      </c>
      <c r="N1059" s="491">
        <f t="shared" si="68"/>
        <v>8550</v>
      </c>
      <c r="Q1059" s="595"/>
      <c r="R1059" s="484"/>
      <c r="S1059" s="595"/>
      <c r="T1059" s="595"/>
      <c r="U1059" s="595"/>
    </row>
    <row r="1060" spans="2:21" s="485" customFormat="1" ht="14.1" hidden="1" customHeight="1">
      <c r="B1060" s="951"/>
      <c r="C1060" s="607"/>
      <c r="D1060" s="607"/>
      <c r="E1060" s="615" t="s">
        <v>71</v>
      </c>
      <c r="F1060" s="615"/>
      <c r="G1060" s="605" t="s">
        <v>66</v>
      </c>
      <c r="H1060" s="616">
        <v>8.9999999999999993E-3</v>
      </c>
      <c r="I1060" s="617">
        <f>'UPH-TNG'!$I$16</f>
        <v>104000</v>
      </c>
      <c r="J1060" s="491">
        <f>ROUND(H1060*I1060,2)</f>
        <v>936</v>
      </c>
      <c r="K1060" s="496"/>
      <c r="L1060" s="493">
        <v>1</v>
      </c>
      <c r="M1060" s="493" t="s">
        <v>422</v>
      </c>
      <c r="N1060" s="491">
        <f t="shared" si="68"/>
        <v>936</v>
      </c>
      <c r="Q1060" s="595"/>
      <c r="R1060" s="484"/>
      <c r="S1060" s="595"/>
      <c r="T1060" s="595"/>
      <c r="U1060" s="595"/>
    </row>
    <row r="1061" spans="2:21" s="485" customFormat="1" ht="14.1" hidden="1" customHeight="1">
      <c r="B1061" s="951"/>
      <c r="C1061" s="607"/>
      <c r="D1061" s="607"/>
      <c r="E1061" s="615" t="s">
        <v>65</v>
      </c>
      <c r="F1061" s="615"/>
      <c r="G1061" s="605" t="s">
        <v>66</v>
      </c>
      <c r="H1061" s="616">
        <v>5.0000000000000001E-3</v>
      </c>
      <c r="I1061" s="632">
        <f>'UPH-TNG'!$I$20</f>
        <v>98000</v>
      </c>
      <c r="J1061" s="491">
        <f>ROUND(H1061*I1061,2)</f>
        <v>490</v>
      </c>
      <c r="K1061" s="607"/>
      <c r="L1061" s="493">
        <v>1</v>
      </c>
      <c r="M1061" s="493" t="s">
        <v>422</v>
      </c>
      <c r="N1061" s="491">
        <f t="shared" si="68"/>
        <v>490</v>
      </c>
      <c r="Q1061" s="595"/>
      <c r="R1061" s="484"/>
      <c r="S1061" s="595"/>
      <c r="T1061" s="595"/>
      <c r="U1061" s="595"/>
    </row>
    <row r="1062" spans="2:21" s="485" customFormat="1" ht="14.1" hidden="1" customHeight="1">
      <c r="B1062" s="951"/>
      <c r="C1062" s="600"/>
      <c r="D1062" s="602"/>
      <c r="E1062" s="612"/>
      <c r="F1062" s="613"/>
      <c r="G1062" s="610"/>
      <c r="H1062" s="614"/>
      <c r="I1062" s="633"/>
      <c r="J1062" s="495"/>
      <c r="K1062" s="494">
        <f>SUM(J1058:J1061)</f>
        <v>18256</v>
      </c>
      <c r="L1062" s="493"/>
      <c r="M1062" s="494"/>
      <c r="N1062" s="491">
        <f t="shared" si="68"/>
        <v>0</v>
      </c>
      <c r="Q1062" s="595"/>
      <c r="R1062" s="484"/>
      <c r="S1062" s="595"/>
      <c r="T1062" s="595"/>
      <c r="U1062" s="595"/>
    </row>
    <row r="1063" spans="2:21" s="485" customFormat="1" ht="14.1" hidden="1" customHeight="1">
      <c r="B1063" s="951"/>
      <c r="C1063" s="598" t="s">
        <v>215</v>
      </c>
      <c r="D1063" s="603" t="s">
        <v>212</v>
      </c>
      <c r="E1063" s="615"/>
      <c r="F1063" s="615"/>
      <c r="G1063" s="605"/>
      <c r="H1063" s="616"/>
      <c r="I1063" s="617"/>
      <c r="J1063" s="491"/>
      <c r="K1063" s="492"/>
      <c r="L1063" s="493"/>
      <c r="M1063" s="494"/>
      <c r="N1063" s="491">
        <f t="shared" si="68"/>
        <v>0</v>
      </c>
      <c r="Q1063" s="595"/>
      <c r="R1063" s="484"/>
      <c r="S1063" s="595"/>
      <c r="T1063" s="595"/>
      <c r="U1063" s="595"/>
    </row>
    <row r="1064" spans="2:21" s="485" customFormat="1" ht="14.1" hidden="1" customHeight="1">
      <c r="B1064" s="951"/>
      <c r="C1064" s="602"/>
      <c r="D1064" s="602"/>
      <c r="E1064" s="612"/>
      <c r="F1064" s="613"/>
      <c r="G1064" s="610"/>
      <c r="H1064" s="614"/>
      <c r="I1064" s="618"/>
      <c r="J1064" s="495"/>
      <c r="K1064" s="494">
        <f>SUM(J1063:J1063)</f>
        <v>0</v>
      </c>
      <c r="L1064" s="493"/>
      <c r="M1064" s="494"/>
      <c r="N1064" s="491">
        <f t="shared" si="68"/>
        <v>0</v>
      </c>
      <c r="Q1064" s="595"/>
      <c r="R1064" s="484"/>
      <c r="S1064" s="595"/>
      <c r="T1064" s="595"/>
      <c r="U1064" s="595"/>
    </row>
    <row r="1065" spans="2:21" s="485" customFormat="1" ht="14.1" hidden="1" customHeight="1">
      <c r="B1065" s="951"/>
      <c r="C1065" s="600" t="s">
        <v>216</v>
      </c>
      <c r="D1065" s="619" t="s">
        <v>219</v>
      </c>
      <c r="E1065" s="613"/>
      <c r="F1065" s="613"/>
      <c r="G1065" s="610"/>
      <c r="H1065" s="614"/>
      <c r="I1065" s="618"/>
      <c r="J1065" s="497" t="s">
        <v>220</v>
      </c>
      <c r="K1065" s="494">
        <f>K1057+K1062+K1064</f>
        <v>43390.5</v>
      </c>
      <c r="L1065" s="620">
        <f>N1065/K1065</f>
        <v>0.47412470586879618</v>
      </c>
      <c r="M1065" s="497"/>
      <c r="N1065" s="498">
        <f>SUM(N1053:N1064)</f>
        <v>20572.50805</v>
      </c>
      <c r="Q1065" s="595"/>
      <c r="R1065" s="484"/>
      <c r="S1065" s="595"/>
      <c r="T1065" s="595"/>
      <c r="U1065" s="595"/>
    </row>
    <row r="1066" spans="2:21" s="485" customFormat="1" ht="14.1" hidden="1" customHeight="1">
      <c r="B1066" s="951"/>
      <c r="C1066" s="600" t="s">
        <v>217</v>
      </c>
      <c r="D1066" s="619" t="s">
        <v>221</v>
      </c>
      <c r="E1066" s="613"/>
      <c r="F1066" s="499">
        <f>$F$48</f>
        <v>0.1</v>
      </c>
      <c r="G1066" s="605" t="s">
        <v>168</v>
      </c>
      <c r="H1066" s="499">
        <f>$H$48</f>
        <v>0.02</v>
      </c>
      <c r="I1066" s="621" t="s">
        <v>167</v>
      </c>
      <c r="J1066" s="494" t="s">
        <v>216</v>
      </c>
      <c r="K1066" s="500">
        <f>ROUND((K1065*(F1066+H1066)),2)</f>
        <v>5206.8599999999997</v>
      </c>
      <c r="L1066" s="494"/>
      <c r="M1066" s="494"/>
      <c r="N1066" s="494"/>
      <c r="Q1066" s="595"/>
      <c r="R1066" s="484"/>
      <c r="S1066" s="595"/>
      <c r="T1066" s="595"/>
      <c r="U1066" s="595"/>
    </row>
    <row r="1067" spans="2:21" s="485" customFormat="1" ht="14.1" hidden="1" customHeight="1">
      <c r="B1067" s="951"/>
      <c r="C1067" s="622" t="s">
        <v>222</v>
      </c>
      <c r="D1067" s="623" t="s">
        <v>76</v>
      </c>
      <c r="E1067" s="624"/>
      <c r="F1067" s="624"/>
      <c r="G1067" s="624"/>
      <c r="H1067" s="625"/>
      <c r="I1067" s="624"/>
      <c r="J1067" s="626" t="s">
        <v>226</v>
      </c>
      <c r="K1067" s="627">
        <f>SUM(K1065:K1066)</f>
        <v>48597.36</v>
      </c>
      <c r="L1067" s="620"/>
      <c r="M1067" s="626"/>
      <c r="N1067" s="635"/>
      <c r="Q1067" s="595"/>
      <c r="R1067" s="484"/>
      <c r="S1067" s="595"/>
      <c r="T1067" s="595"/>
      <c r="U1067" s="595"/>
    </row>
    <row r="1068" spans="2:21" hidden="1">
      <c r="Q1068" s="595"/>
      <c r="R1068" s="484"/>
      <c r="S1068" s="595"/>
      <c r="T1068" s="595"/>
      <c r="U1068" s="595"/>
    </row>
    <row r="1069" spans="2:21" s="485" customFormat="1" ht="14.1" customHeight="1">
      <c r="B1069" s="951">
        <f>B1048+1</f>
        <v>54</v>
      </c>
      <c r="C1069" s="488"/>
      <c r="D1069" s="485" t="s">
        <v>691</v>
      </c>
      <c r="H1069" s="488"/>
      <c r="K1069" s="591" t="s">
        <v>239</v>
      </c>
      <c r="L1069" s="591"/>
      <c r="M1069" s="591"/>
      <c r="N1069" s="591"/>
      <c r="O1069" s="485" t="str">
        <f>D1070</f>
        <v>m2</v>
      </c>
      <c r="P1069" s="636">
        <f>K1086</f>
        <v>122812.48</v>
      </c>
      <c r="Q1069" s="593">
        <f>L1084</f>
        <v>0.192915899100808</v>
      </c>
      <c r="R1069" s="484">
        <f>N1084</f>
        <v>21154</v>
      </c>
      <c r="S1069" s="594"/>
      <c r="T1069" s="484"/>
      <c r="U1069" s="593"/>
    </row>
    <row r="1070" spans="2:21" s="485" customFormat="1" ht="14.1" customHeight="1">
      <c r="B1070" s="951"/>
      <c r="C1070" s="488"/>
      <c r="D1070" s="485" t="s">
        <v>100</v>
      </c>
      <c r="H1070" s="488"/>
      <c r="Q1070" s="595"/>
      <c r="R1070" s="484"/>
      <c r="S1070" s="595"/>
      <c r="T1070" s="595"/>
      <c r="U1070" s="595"/>
    </row>
    <row r="1071" spans="2:21" s="485" customFormat="1" ht="14.1" customHeight="1">
      <c r="B1071" s="951"/>
      <c r="C1071" s="596"/>
      <c r="D1071" s="977" t="s">
        <v>55</v>
      </c>
      <c r="E1071" s="978"/>
      <c r="F1071" s="597"/>
      <c r="G1071" s="981" t="s">
        <v>56</v>
      </c>
      <c r="H1071" s="981" t="s">
        <v>57</v>
      </c>
      <c r="I1071" s="596" t="s">
        <v>58</v>
      </c>
      <c r="J1071" s="596" t="s">
        <v>59</v>
      </c>
      <c r="K1071" s="596" t="s">
        <v>102</v>
      </c>
      <c r="L1071" s="596" t="s">
        <v>418</v>
      </c>
      <c r="M1071" s="596" t="s">
        <v>419</v>
      </c>
      <c r="N1071" s="596" t="s">
        <v>59</v>
      </c>
      <c r="Q1071" s="595"/>
      <c r="R1071" s="484"/>
      <c r="S1071" s="595"/>
      <c r="T1071" s="595"/>
      <c r="U1071" s="595"/>
    </row>
    <row r="1072" spans="2:21" s="485" customFormat="1" ht="14.1" customHeight="1">
      <c r="B1072" s="951"/>
      <c r="C1072" s="598" t="s">
        <v>227</v>
      </c>
      <c r="D1072" s="979"/>
      <c r="E1072" s="980"/>
      <c r="F1072" s="599"/>
      <c r="G1072" s="982"/>
      <c r="H1072" s="982"/>
      <c r="I1072" s="598" t="s">
        <v>60</v>
      </c>
      <c r="J1072" s="598" t="s">
        <v>61</v>
      </c>
      <c r="K1072" s="598" t="s">
        <v>61</v>
      </c>
      <c r="L1072" s="598" t="s">
        <v>421</v>
      </c>
      <c r="M1072" s="598"/>
      <c r="N1072" s="598" t="s">
        <v>423</v>
      </c>
      <c r="Q1072" s="595"/>
      <c r="R1072" s="484"/>
      <c r="S1072" s="595"/>
      <c r="T1072" s="595"/>
      <c r="U1072" s="595"/>
    </row>
    <row r="1073" spans="2:21" s="485" customFormat="1" ht="14.1" customHeight="1">
      <c r="B1073" s="951"/>
      <c r="C1073" s="600"/>
      <c r="D1073" s="969"/>
      <c r="E1073" s="970"/>
      <c r="F1073" s="601"/>
      <c r="G1073" s="973"/>
      <c r="H1073" s="973"/>
      <c r="I1073" s="600" t="s">
        <v>61</v>
      </c>
      <c r="J1073" s="602"/>
      <c r="K1073" s="602"/>
      <c r="L1073" s="602"/>
      <c r="M1073" s="602"/>
      <c r="N1073" s="600" t="s">
        <v>61</v>
      </c>
      <c r="Q1073" s="595"/>
      <c r="R1073" s="484"/>
      <c r="S1073" s="595"/>
      <c r="T1073" s="595"/>
      <c r="U1073" s="595"/>
    </row>
    <row r="1074" spans="2:21" s="485" customFormat="1" ht="14.1" customHeight="1">
      <c r="B1074" s="951"/>
      <c r="C1074" s="596" t="s">
        <v>213</v>
      </c>
      <c r="D1074" s="607" t="s">
        <v>62</v>
      </c>
      <c r="E1074" s="615" t="s">
        <v>692</v>
      </c>
      <c r="F1074" s="615"/>
      <c r="G1074" s="605" t="s">
        <v>100</v>
      </c>
      <c r="H1074" s="616">
        <v>1.1000000000000001</v>
      </c>
      <c r="I1074" s="617">
        <v>75000</v>
      </c>
      <c r="J1074" s="491">
        <f>ROUND(H1074*I1074,2)</f>
        <v>82500</v>
      </c>
      <c r="K1074" s="492"/>
      <c r="L1074" s="502">
        <v>0</v>
      </c>
      <c r="M1074" s="494"/>
      <c r="N1074" s="491">
        <f t="shared" ref="N1074:N1083" si="69">L1074*J1074</f>
        <v>0</v>
      </c>
      <c r="Q1074" s="595"/>
      <c r="R1074" s="484"/>
      <c r="S1074" s="595"/>
      <c r="T1074" s="595"/>
      <c r="U1074" s="595"/>
    </row>
    <row r="1075" spans="2:21" s="485" customFormat="1" ht="14.1" customHeight="1">
      <c r="B1075" s="951"/>
      <c r="C1075" s="670"/>
      <c r="D1075" s="666"/>
      <c r="E1075" s="615" t="s">
        <v>693</v>
      </c>
      <c r="F1075" s="615"/>
      <c r="G1075" s="605" t="s">
        <v>694</v>
      </c>
      <c r="H1075" s="616">
        <v>6</v>
      </c>
      <c r="I1075" s="617">
        <v>1000</v>
      </c>
      <c r="J1075" s="491">
        <f>ROUND(H1075*I1075,2)</f>
        <v>6000</v>
      </c>
      <c r="K1075" s="492"/>
      <c r="L1075" s="502">
        <v>0</v>
      </c>
      <c r="M1075" s="494"/>
      <c r="N1075" s="491">
        <f t="shared" ref="N1075" si="70">L1075*J1075</f>
        <v>0</v>
      </c>
      <c r="Q1075" s="595"/>
      <c r="R1075" s="484"/>
      <c r="S1075" s="595"/>
      <c r="T1075" s="595"/>
      <c r="U1075" s="595"/>
    </row>
    <row r="1076" spans="2:21" s="485" customFormat="1" ht="14.1" customHeight="1">
      <c r="B1076" s="951"/>
      <c r="C1076" s="600"/>
      <c r="D1076" s="607"/>
      <c r="E1076" s="612"/>
      <c r="F1076" s="613"/>
      <c r="G1076" s="610"/>
      <c r="H1076" s="614"/>
      <c r="I1076" s="618"/>
      <c r="J1076" s="495"/>
      <c r="K1076" s="491">
        <f>SUM(J1074:J1075)</f>
        <v>88500</v>
      </c>
      <c r="L1076" s="502"/>
      <c r="M1076" s="494"/>
      <c r="N1076" s="491">
        <f t="shared" si="69"/>
        <v>0</v>
      </c>
      <c r="Q1076" s="595"/>
      <c r="R1076" s="484"/>
      <c r="S1076" s="595"/>
      <c r="T1076" s="595"/>
      <c r="U1076" s="595"/>
    </row>
    <row r="1077" spans="2:21" s="485" customFormat="1" ht="14.1" customHeight="1">
      <c r="B1077" s="951"/>
      <c r="C1077" s="596" t="s">
        <v>214</v>
      </c>
      <c r="D1077" s="603" t="s">
        <v>63</v>
      </c>
      <c r="E1077" s="615" t="s">
        <v>69</v>
      </c>
      <c r="F1077" s="615"/>
      <c r="G1077" s="605" t="s">
        <v>66</v>
      </c>
      <c r="H1077" s="616">
        <v>0.14000000000000001</v>
      </c>
      <c r="I1077" s="617">
        <f>'UPH-TNG'!$I$15</f>
        <v>92000</v>
      </c>
      <c r="J1077" s="491">
        <f>ROUND(H1077*I1077,2)</f>
        <v>12880</v>
      </c>
      <c r="K1077" s="492"/>
      <c r="L1077" s="493">
        <v>1</v>
      </c>
      <c r="M1077" s="493" t="s">
        <v>422</v>
      </c>
      <c r="N1077" s="491">
        <f t="shared" si="69"/>
        <v>12880</v>
      </c>
      <c r="Q1077" s="595"/>
      <c r="R1077" s="484"/>
      <c r="S1077" s="595"/>
      <c r="T1077" s="595"/>
      <c r="U1077" s="595"/>
    </row>
    <row r="1078" spans="2:21" s="485" customFormat="1" ht="14.1" customHeight="1">
      <c r="B1078" s="951"/>
      <c r="C1078" s="607"/>
      <c r="D1078" s="607"/>
      <c r="E1078" s="615" t="s">
        <v>93</v>
      </c>
      <c r="F1078" s="615"/>
      <c r="G1078" s="605" t="s">
        <v>66</v>
      </c>
      <c r="H1078" s="616">
        <v>7.0000000000000007E-2</v>
      </c>
      <c r="I1078" s="617">
        <f>'UPH-TNG'!$I$24</f>
        <v>98000</v>
      </c>
      <c r="J1078" s="491">
        <f>ROUND(H1078*I1078,2)</f>
        <v>6860</v>
      </c>
      <c r="K1078" s="496"/>
      <c r="L1078" s="493">
        <v>1</v>
      </c>
      <c r="M1078" s="493" t="s">
        <v>422</v>
      </c>
      <c r="N1078" s="491">
        <f t="shared" si="69"/>
        <v>6860</v>
      </c>
      <c r="Q1078" s="595"/>
      <c r="R1078" s="484"/>
      <c r="S1078" s="595"/>
      <c r="T1078" s="595"/>
      <c r="U1078" s="595"/>
    </row>
    <row r="1079" spans="2:21" s="485" customFormat="1" ht="14.1" customHeight="1">
      <c r="B1079" s="951"/>
      <c r="C1079" s="607"/>
      <c r="D1079" s="607"/>
      <c r="E1079" s="615" t="s">
        <v>71</v>
      </c>
      <c r="F1079" s="615"/>
      <c r="G1079" s="605" t="s">
        <v>66</v>
      </c>
      <c r="H1079" s="616">
        <v>7.0000000000000001E-3</v>
      </c>
      <c r="I1079" s="617">
        <f>'UPH-TNG'!$I$19</f>
        <v>104000</v>
      </c>
      <c r="J1079" s="491">
        <f>ROUND(H1079*I1079,2)</f>
        <v>728</v>
      </c>
      <c r="K1079" s="496"/>
      <c r="L1079" s="493">
        <v>1</v>
      </c>
      <c r="M1079" s="493" t="s">
        <v>422</v>
      </c>
      <c r="N1079" s="491">
        <f t="shared" si="69"/>
        <v>728</v>
      </c>
      <c r="Q1079" s="595"/>
      <c r="R1079" s="484"/>
      <c r="S1079" s="595"/>
      <c r="T1079" s="595"/>
      <c r="U1079" s="595"/>
    </row>
    <row r="1080" spans="2:21" s="485" customFormat="1" ht="14.1" customHeight="1">
      <c r="B1080" s="951"/>
      <c r="C1080" s="607"/>
      <c r="D1080" s="607"/>
      <c r="E1080" s="615" t="s">
        <v>65</v>
      </c>
      <c r="F1080" s="615"/>
      <c r="G1080" s="605" t="s">
        <v>66</v>
      </c>
      <c r="H1080" s="616">
        <v>7.0000000000000001E-3</v>
      </c>
      <c r="I1080" s="617">
        <f>'UPH-TNG'!$I$20</f>
        <v>98000</v>
      </c>
      <c r="J1080" s="491">
        <f>ROUND(H1080*I1080,2)</f>
        <v>686</v>
      </c>
      <c r="K1080" s="511"/>
      <c r="L1080" s="493">
        <v>1</v>
      </c>
      <c r="M1080" s="493" t="s">
        <v>422</v>
      </c>
      <c r="N1080" s="491">
        <f t="shared" si="69"/>
        <v>686</v>
      </c>
      <c r="Q1080" s="595"/>
      <c r="R1080" s="484"/>
      <c r="S1080" s="595"/>
      <c r="T1080" s="595"/>
      <c r="U1080" s="595"/>
    </row>
    <row r="1081" spans="2:21" s="485" customFormat="1" ht="14.1" customHeight="1">
      <c r="B1081" s="951"/>
      <c r="C1081" s="602"/>
      <c r="D1081" s="602"/>
      <c r="E1081" s="612"/>
      <c r="F1081" s="613"/>
      <c r="G1081" s="610"/>
      <c r="H1081" s="614"/>
      <c r="I1081" s="618"/>
      <c r="J1081" s="495"/>
      <c r="K1081" s="508">
        <f>SUM(J1077:J1080)</f>
        <v>21154</v>
      </c>
      <c r="L1081" s="502"/>
      <c r="M1081" s="494"/>
      <c r="N1081" s="491">
        <f t="shared" si="69"/>
        <v>0</v>
      </c>
      <c r="Q1081" s="595"/>
      <c r="R1081" s="484"/>
      <c r="S1081" s="595"/>
      <c r="T1081" s="595"/>
      <c r="U1081" s="595"/>
    </row>
    <row r="1082" spans="2:21" s="485" customFormat="1" ht="14.1" customHeight="1">
      <c r="B1082" s="951"/>
      <c r="C1082" s="598" t="s">
        <v>215</v>
      </c>
      <c r="D1082" s="603" t="s">
        <v>212</v>
      </c>
      <c r="E1082" s="615"/>
      <c r="F1082" s="615"/>
      <c r="G1082" s="605"/>
      <c r="H1082" s="616"/>
      <c r="I1082" s="617"/>
      <c r="J1082" s="491"/>
      <c r="K1082" s="492"/>
      <c r="L1082" s="502"/>
      <c r="M1082" s="494"/>
      <c r="N1082" s="491">
        <f t="shared" si="69"/>
        <v>0</v>
      </c>
      <c r="Q1082" s="595"/>
      <c r="R1082" s="484"/>
      <c r="S1082" s="595"/>
      <c r="T1082" s="595"/>
      <c r="U1082" s="595"/>
    </row>
    <row r="1083" spans="2:21" s="485" customFormat="1" ht="14.1" customHeight="1">
      <c r="B1083" s="951"/>
      <c r="C1083" s="600"/>
      <c r="D1083" s="602"/>
      <c r="E1083" s="612"/>
      <c r="F1083" s="613"/>
      <c r="G1083" s="610"/>
      <c r="H1083" s="614"/>
      <c r="I1083" s="618"/>
      <c r="J1083" s="495"/>
      <c r="K1083" s="494">
        <f>SUM(J1082:J1082)</f>
        <v>0</v>
      </c>
      <c r="L1083" s="502"/>
      <c r="M1083" s="494"/>
      <c r="N1083" s="491">
        <f t="shared" si="69"/>
        <v>0</v>
      </c>
      <c r="Q1083" s="595"/>
      <c r="R1083" s="484"/>
      <c r="S1083" s="595"/>
      <c r="T1083" s="595"/>
      <c r="U1083" s="595"/>
    </row>
    <row r="1084" spans="2:21" s="485" customFormat="1" ht="14.1" customHeight="1">
      <c r="B1084" s="951"/>
      <c r="C1084" s="600" t="s">
        <v>216</v>
      </c>
      <c r="D1084" s="619" t="s">
        <v>219</v>
      </c>
      <c r="E1084" s="613"/>
      <c r="F1084" s="613"/>
      <c r="G1084" s="610"/>
      <c r="H1084" s="614"/>
      <c r="I1084" s="618"/>
      <c r="J1084" s="497" t="s">
        <v>220</v>
      </c>
      <c r="K1084" s="494">
        <f>K1076+K1081+K1083</f>
        <v>109654</v>
      </c>
      <c r="L1084" s="503">
        <f>N1084/K1084</f>
        <v>0.192915899100808</v>
      </c>
      <c r="M1084" s="497"/>
      <c r="N1084" s="498">
        <f>SUM(N1073:N1083)</f>
        <v>21154</v>
      </c>
      <c r="Q1084" s="595"/>
      <c r="R1084" s="484"/>
      <c r="S1084" s="595"/>
      <c r="T1084" s="595"/>
      <c r="U1084" s="595"/>
    </row>
    <row r="1085" spans="2:21" s="485" customFormat="1" ht="14.1" customHeight="1">
      <c r="B1085" s="951"/>
      <c r="C1085" s="600" t="s">
        <v>217</v>
      </c>
      <c r="D1085" s="619" t="s">
        <v>221</v>
      </c>
      <c r="E1085" s="613"/>
      <c r="F1085" s="499">
        <f>$F$48</f>
        <v>0.1</v>
      </c>
      <c r="G1085" s="605" t="s">
        <v>168</v>
      </c>
      <c r="H1085" s="499">
        <f>$H$48</f>
        <v>0.02</v>
      </c>
      <c r="I1085" s="621" t="s">
        <v>167</v>
      </c>
      <c r="J1085" s="494" t="s">
        <v>216</v>
      </c>
      <c r="K1085" s="500">
        <f>ROUND((K1084*(F1085+H1085)),2)</f>
        <v>13158.48</v>
      </c>
      <c r="L1085" s="494"/>
      <c r="M1085" s="494"/>
      <c r="N1085" s="494"/>
      <c r="Q1085" s="595"/>
      <c r="R1085" s="484"/>
      <c r="S1085" s="595"/>
      <c r="T1085" s="595"/>
      <c r="U1085" s="595"/>
    </row>
    <row r="1086" spans="2:21" s="485" customFormat="1" ht="14.1" customHeight="1">
      <c r="B1086" s="951"/>
      <c r="C1086" s="622" t="s">
        <v>222</v>
      </c>
      <c r="D1086" s="623" t="s">
        <v>76</v>
      </c>
      <c r="E1086" s="624"/>
      <c r="F1086" s="624"/>
      <c r="G1086" s="624"/>
      <c r="H1086" s="625"/>
      <c r="I1086" s="624"/>
      <c r="J1086" s="626" t="s">
        <v>226</v>
      </c>
      <c r="K1086" s="627">
        <f>SUM(K1084:K1085)</f>
        <v>122812.48</v>
      </c>
      <c r="L1086" s="620"/>
      <c r="M1086" s="626"/>
      <c r="N1086" s="635"/>
      <c r="Q1086" s="595"/>
      <c r="R1086" s="484"/>
      <c r="S1086" s="595"/>
      <c r="T1086" s="595"/>
      <c r="U1086" s="595"/>
    </row>
    <row r="1087" spans="2:21" s="485" customFormat="1" ht="14.1" customHeight="1">
      <c r="B1087" s="948"/>
      <c r="H1087" s="488"/>
      <c r="Q1087" s="595"/>
      <c r="R1087" s="484"/>
      <c r="S1087" s="595"/>
      <c r="T1087" s="595"/>
      <c r="U1087" s="595"/>
    </row>
    <row r="1088" spans="2:21" s="485" customFormat="1" ht="14.1" customHeight="1">
      <c r="B1088" s="951">
        <f>B1069+1</f>
        <v>55</v>
      </c>
      <c r="C1088" s="488"/>
      <c r="D1088" s="485" t="s">
        <v>722</v>
      </c>
      <c r="H1088" s="488"/>
      <c r="K1088" s="591" t="s">
        <v>239</v>
      </c>
      <c r="L1088" s="591"/>
      <c r="M1088" s="591"/>
      <c r="N1088" s="591"/>
      <c r="O1088" s="485" t="str">
        <f>D1089</f>
        <v>m'</v>
      </c>
      <c r="P1088" s="636">
        <f>K1105</f>
        <v>72493.119999999995</v>
      </c>
      <c r="Q1088" s="593">
        <f>L1103</f>
        <v>0.42377715292154622</v>
      </c>
      <c r="R1088" s="484">
        <f>N1103</f>
        <v>27429.4</v>
      </c>
      <c r="S1088" s="594"/>
      <c r="T1088" s="484"/>
      <c r="U1088" s="593"/>
    </row>
    <row r="1089" spans="2:21" s="485" customFormat="1" ht="14.1" customHeight="1">
      <c r="B1089" s="951"/>
      <c r="C1089" s="488"/>
      <c r="D1089" s="485" t="s">
        <v>32</v>
      </c>
      <c r="H1089" s="488"/>
      <c r="Q1089" s="595"/>
      <c r="R1089" s="484"/>
      <c r="S1089" s="595"/>
      <c r="T1089" s="595"/>
      <c r="U1089" s="595"/>
    </row>
    <row r="1090" spans="2:21" s="485" customFormat="1" ht="14.1" customHeight="1">
      <c r="B1090" s="951"/>
      <c r="C1090" s="596"/>
      <c r="D1090" s="977" t="s">
        <v>55</v>
      </c>
      <c r="E1090" s="978"/>
      <c r="F1090" s="597"/>
      <c r="G1090" s="981" t="s">
        <v>56</v>
      </c>
      <c r="H1090" s="981" t="s">
        <v>57</v>
      </c>
      <c r="I1090" s="596" t="s">
        <v>58</v>
      </c>
      <c r="J1090" s="596" t="s">
        <v>59</v>
      </c>
      <c r="K1090" s="596" t="s">
        <v>102</v>
      </c>
      <c r="L1090" s="596" t="s">
        <v>418</v>
      </c>
      <c r="M1090" s="596" t="s">
        <v>419</v>
      </c>
      <c r="N1090" s="596" t="s">
        <v>59</v>
      </c>
      <c r="Q1090" s="595"/>
      <c r="R1090" s="484"/>
      <c r="S1090" s="595"/>
      <c r="T1090" s="595"/>
      <c r="U1090" s="595"/>
    </row>
    <row r="1091" spans="2:21" s="485" customFormat="1" ht="14.1" customHeight="1">
      <c r="B1091" s="951"/>
      <c r="C1091" s="598" t="s">
        <v>227</v>
      </c>
      <c r="D1091" s="979"/>
      <c r="E1091" s="980"/>
      <c r="F1091" s="599"/>
      <c r="G1091" s="982"/>
      <c r="H1091" s="982"/>
      <c r="I1091" s="598" t="s">
        <v>60</v>
      </c>
      <c r="J1091" s="598" t="s">
        <v>61</v>
      </c>
      <c r="K1091" s="598" t="s">
        <v>61</v>
      </c>
      <c r="L1091" s="598" t="s">
        <v>421</v>
      </c>
      <c r="M1091" s="598"/>
      <c r="N1091" s="598" t="s">
        <v>423</v>
      </c>
      <c r="Q1091" s="595"/>
      <c r="R1091" s="484"/>
      <c r="S1091" s="595"/>
      <c r="T1091" s="595"/>
      <c r="U1091" s="595"/>
    </row>
    <row r="1092" spans="2:21" s="485" customFormat="1" ht="14.1" customHeight="1">
      <c r="B1092" s="951"/>
      <c r="C1092" s="600"/>
      <c r="D1092" s="969"/>
      <c r="E1092" s="970"/>
      <c r="F1092" s="601"/>
      <c r="G1092" s="973"/>
      <c r="H1092" s="973"/>
      <c r="I1092" s="600" t="s">
        <v>61</v>
      </c>
      <c r="J1092" s="602"/>
      <c r="K1092" s="602"/>
      <c r="L1092" s="602"/>
      <c r="M1092" s="602"/>
      <c r="N1092" s="600" t="s">
        <v>61</v>
      </c>
      <c r="Q1092" s="595"/>
      <c r="R1092" s="484"/>
      <c r="S1092" s="595"/>
      <c r="T1092" s="595"/>
      <c r="U1092" s="595"/>
    </row>
    <row r="1093" spans="2:21" s="485" customFormat="1" ht="14.1" customHeight="1">
      <c r="B1093" s="951"/>
      <c r="C1093" s="596" t="s">
        <v>213</v>
      </c>
      <c r="D1093" s="607" t="s">
        <v>62</v>
      </c>
      <c r="E1093" s="672" t="s">
        <v>721</v>
      </c>
      <c r="F1093" s="672"/>
      <c r="G1093" s="673" t="s">
        <v>32</v>
      </c>
      <c r="H1093" s="680">
        <v>1.05</v>
      </c>
      <c r="I1093" s="708">
        <v>35000</v>
      </c>
      <c r="J1093" s="532">
        <f>ROUND(H1093*I1093,2)</f>
        <v>36750</v>
      </c>
      <c r="K1093" s="492"/>
      <c r="L1093" s="502">
        <f>L1074</f>
        <v>0</v>
      </c>
      <c r="M1093" s="494"/>
      <c r="N1093" s="491">
        <f t="shared" ref="N1093:N1102" si="71">L1093*J1093</f>
        <v>0</v>
      </c>
      <c r="Q1093" s="595"/>
      <c r="R1093" s="484"/>
      <c r="S1093" s="595"/>
      <c r="T1093" s="595"/>
      <c r="U1093" s="595"/>
    </row>
    <row r="1094" spans="2:21" s="485" customFormat="1" ht="14.1" customHeight="1">
      <c r="B1094" s="951"/>
      <c r="C1094" s="670"/>
      <c r="D1094" s="666"/>
      <c r="E1094" s="615" t="s">
        <v>693</v>
      </c>
      <c r="F1094" s="615"/>
      <c r="G1094" s="605" t="s">
        <v>694</v>
      </c>
      <c r="H1094" s="616">
        <v>6</v>
      </c>
      <c r="I1094" s="617">
        <v>1000</v>
      </c>
      <c r="J1094" s="491">
        <f>ROUND(H1094*I1094,2)</f>
        <v>6000</v>
      </c>
      <c r="K1094" s="515"/>
      <c r="L1094" s="501">
        <f>$L$163</f>
        <v>0.90890000000000004</v>
      </c>
      <c r="M1094" s="494" t="s">
        <v>429</v>
      </c>
      <c r="N1094" s="491">
        <f t="shared" si="71"/>
        <v>5453.4000000000005</v>
      </c>
      <c r="Q1094" s="595"/>
      <c r="R1094" s="484"/>
      <c r="S1094" s="595"/>
      <c r="T1094" s="595"/>
      <c r="U1094" s="595"/>
    </row>
    <row r="1095" spans="2:21" s="485" customFormat="1" ht="14.1" customHeight="1">
      <c r="B1095" s="951"/>
      <c r="C1095" s="600"/>
      <c r="D1095" s="607"/>
      <c r="E1095" s="612"/>
      <c r="F1095" s="613"/>
      <c r="G1095" s="610"/>
      <c r="H1095" s="614"/>
      <c r="I1095" s="618"/>
      <c r="J1095" s="495"/>
      <c r="K1095" s="491">
        <f>SUM(J1093:J1094)</f>
        <v>42750</v>
      </c>
      <c r="L1095" s="502"/>
      <c r="M1095" s="494"/>
      <c r="N1095" s="491">
        <f t="shared" si="71"/>
        <v>0</v>
      </c>
      <c r="Q1095" s="595"/>
      <c r="R1095" s="484"/>
      <c r="S1095" s="595"/>
      <c r="T1095" s="595"/>
      <c r="U1095" s="595"/>
    </row>
    <row r="1096" spans="2:21" s="485" customFormat="1" ht="14.1" customHeight="1">
      <c r="B1096" s="951"/>
      <c r="C1096" s="596" t="s">
        <v>214</v>
      </c>
      <c r="D1096" s="603" t="s">
        <v>63</v>
      </c>
      <c r="E1096" s="615" t="s">
        <v>69</v>
      </c>
      <c r="F1096" s="615"/>
      <c r="G1096" s="605" t="s">
        <v>66</v>
      </c>
      <c r="H1096" s="616">
        <v>0.15</v>
      </c>
      <c r="I1096" s="617">
        <f>'UPH-TNG'!$I$15</f>
        <v>92000</v>
      </c>
      <c r="J1096" s="491">
        <f>ROUND(H1096*I1096,2)</f>
        <v>13800</v>
      </c>
      <c r="K1096" s="492"/>
      <c r="L1096" s="493">
        <v>1</v>
      </c>
      <c r="M1096" s="493" t="s">
        <v>422</v>
      </c>
      <c r="N1096" s="491">
        <f t="shared" si="71"/>
        <v>13800</v>
      </c>
      <c r="Q1096" s="595"/>
      <c r="R1096" s="484"/>
      <c r="S1096" s="595"/>
      <c r="T1096" s="595"/>
      <c r="U1096" s="595"/>
    </row>
    <row r="1097" spans="2:21" s="485" customFormat="1" ht="14.1" customHeight="1">
      <c r="B1097" s="951"/>
      <c r="C1097" s="607"/>
      <c r="D1097" s="607"/>
      <c r="E1097" s="615" t="s">
        <v>93</v>
      </c>
      <c r="F1097" s="615"/>
      <c r="G1097" s="605" t="s">
        <v>66</v>
      </c>
      <c r="H1097" s="616">
        <v>7.0000000000000007E-2</v>
      </c>
      <c r="I1097" s="617">
        <f>'UPH-TNG'!$I$24</f>
        <v>98000</v>
      </c>
      <c r="J1097" s="491">
        <f>ROUND(H1097*I1097,2)</f>
        <v>6860</v>
      </c>
      <c r="K1097" s="496"/>
      <c r="L1097" s="493">
        <v>1</v>
      </c>
      <c r="M1097" s="493" t="s">
        <v>422</v>
      </c>
      <c r="N1097" s="491">
        <f t="shared" si="71"/>
        <v>6860</v>
      </c>
      <c r="Q1097" s="595"/>
      <c r="R1097" s="484"/>
      <c r="S1097" s="595"/>
      <c r="T1097" s="595"/>
      <c r="U1097" s="595"/>
    </row>
    <row r="1098" spans="2:21" s="485" customFormat="1" ht="14.1" customHeight="1">
      <c r="B1098" s="951"/>
      <c r="C1098" s="607"/>
      <c r="D1098" s="607"/>
      <c r="E1098" s="615" t="s">
        <v>71</v>
      </c>
      <c r="F1098" s="615"/>
      <c r="G1098" s="605" t="s">
        <v>66</v>
      </c>
      <c r="H1098" s="616">
        <v>7.0000000000000001E-3</v>
      </c>
      <c r="I1098" s="617">
        <f>'UPH-TNG'!$I$19</f>
        <v>104000</v>
      </c>
      <c r="J1098" s="491">
        <f>ROUND(H1098*I1098,2)</f>
        <v>728</v>
      </c>
      <c r="K1098" s="496"/>
      <c r="L1098" s="493">
        <v>1</v>
      </c>
      <c r="M1098" s="493" t="s">
        <v>422</v>
      </c>
      <c r="N1098" s="491">
        <f t="shared" si="71"/>
        <v>728</v>
      </c>
      <c r="Q1098" s="595"/>
      <c r="R1098" s="484"/>
      <c r="S1098" s="595"/>
      <c r="T1098" s="595"/>
      <c r="U1098" s="595"/>
    </row>
    <row r="1099" spans="2:21" s="485" customFormat="1" ht="14.1" customHeight="1">
      <c r="B1099" s="951"/>
      <c r="C1099" s="607"/>
      <c r="D1099" s="607"/>
      <c r="E1099" s="615" t="s">
        <v>65</v>
      </c>
      <c r="F1099" s="615"/>
      <c r="G1099" s="605" t="s">
        <v>66</v>
      </c>
      <c r="H1099" s="616">
        <v>6.0000000000000001E-3</v>
      </c>
      <c r="I1099" s="617">
        <f>'UPH-TNG'!$I$20</f>
        <v>98000</v>
      </c>
      <c r="J1099" s="491">
        <f>ROUND(H1099*I1099,2)</f>
        <v>588</v>
      </c>
      <c r="K1099" s="511"/>
      <c r="L1099" s="493">
        <v>1</v>
      </c>
      <c r="M1099" s="493" t="s">
        <v>422</v>
      </c>
      <c r="N1099" s="491">
        <f t="shared" si="71"/>
        <v>588</v>
      </c>
      <c r="Q1099" s="595"/>
      <c r="R1099" s="484"/>
      <c r="S1099" s="595"/>
      <c r="T1099" s="595"/>
      <c r="U1099" s="595"/>
    </row>
    <row r="1100" spans="2:21" s="485" customFormat="1" ht="14.1" customHeight="1">
      <c r="B1100" s="951"/>
      <c r="C1100" s="602"/>
      <c r="D1100" s="602"/>
      <c r="E1100" s="612"/>
      <c r="F1100" s="613"/>
      <c r="G1100" s="610"/>
      <c r="H1100" s="614"/>
      <c r="I1100" s="618"/>
      <c r="J1100" s="495"/>
      <c r="K1100" s="508">
        <f>SUM(J1096:J1099)</f>
        <v>21976</v>
      </c>
      <c r="L1100" s="502"/>
      <c r="M1100" s="494"/>
      <c r="N1100" s="491">
        <f t="shared" si="71"/>
        <v>0</v>
      </c>
      <c r="Q1100" s="595"/>
      <c r="R1100" s="484"/>
      <c r="S1100" s="595"/>
      <c r="T1100" s="595"/>
      <c r="U1100" s="595"/>
    </row>
    <row r="1101" spans="2:21" s="485" customFormat="1" ht="14.1" customHeight="1">
      <c r="B1101" s="951"/>
      <c r="C1101" s="598" t="s">
        <v>215</v>
      </c>
      <c r="D1101" s="603" t="s">
        <v>212</v>
      </c>
      <c r="E1101" s="615"/>
      <c r="F1101" s="615"/>
      <c r="G1101" s="605"/>
      <c r="H1101" s="616"/>
      <c r="I1101" s="617"/>
      <c r="J1101" s="491"/>
      <c r="K1101" s="492"/>
      <c r="L1101" s="502"/>
      <c r="M1101" s="494"/>
      <c r="N1101" s="491">
        <f t="shared" si="71"/>
        <v>0</v>
      </c>
      <c r="Q1101" s="595"/>
      <c r="R1101" s="484"/>
      <c r="S1101" s="595"/>
      <c r="T1101" s="595"/>
      <c r="U1101" s="595"/>
    </row>
    <row r="1102" spans="2:21" s="485" customFormat="1" ht="14.1" customHeight="1">
      <c r="B1102" s="951"/>
      <c r="C1102" s="600"/>
      <c r="D1102" s="602"/>
      <c r="E1102" s="612"/>
      <c r="F1102" s="613"/>
      <c r="G1102" s="610"/>
      <c r="H1102" s="614"/>
      <c r="I1102" s="618"/>
      <c r="J1102" s="495"/>
      <c r="K1102" s="494">
        <f>SUM(J1101:J1101)</f>
        <v>0</v>
      </c>
      <c r="L1102" s="502"/>
      <c r="M1102" s="494"/>
      <c r="N1102" s="491">
        <f t="shared" si="71"/>
        <v>0</v>
      </c>
      <c r="Q1102" s="595"/>
      <c r="R1102" s="484"/>
      <c r="S1102" s="595"/>
      <c r="T1102" s="595"/>
      <c r="U1102" s="595"/>
    </row>
    <row r="1103" spans="2:21" s="485" customFormat="1" ht="14.1" customHeight="1">
      <c r="B1103" s="951"/>
      <c r="C1103" s="600" t="s">
        <v>216</v>
      </c>
      <c r="D1103" s="619" t="s">
        <v>219</v>
      </c>
      <c r="E1103" s="613"/>
      <c r="F1103" s="613"/>
      <c r="G1103" s="610"/>
      <c r="H1103" s="614"/>
      <c r="I1103" s="618"/>
      <c r="J1103" s="497" t="s">
        <v>220</v>
      </c>
      <c r="K1103" s="494">
        <f>K1095+K1100+K1102</f>
        <v>64726</v>
      </c>
      <c r="L1103" s="503">
        <f>N1103/K1103</f>
        <v>0.42377715292154622</v>
      </c>
      <c r="M1103" s="497"/>
      <c r="N1103" s="498">
        <f>SUM(N1092:N1102)</f>
        <v>27429.4</v>
      </c>
      <c r="Q1103" s="595"/>
      <c r="R1103" s="484"/>
      <c r="S1103" s="595"/>
      <c r="T1103" s="595"/>
      <c r="U1103" s="595"/>
    </row>
    <row r="1104" spans="2:21" s="485" customFormat="1" ht="14.1" customHeight="1">
      <c r="B1104" s="951"/>
      <c r="C1104" s="600" t="s">
        <v>217</v>
      </c>
      <c r="D1104" s="619" t="s">
        <v>221</v>
      </c>
      <c r="E1104" s="613"/>
      <c r="F1104" s="499">
        <f>$F$48</f>
        <v>0.1</v>
      </c>
      <c r="G1104" s="605" t="s">
        <v>168</v>
      </c>
      <c r="H1104" s="499">
        <f>$H$48</f>
        <v>0.02</v>
      </c>
      <c r="I1104" s="621" t="s">
        <v>167</v>
      </c>
      <c r="J1104" s="494" t="s">
        <v>216</v>
      </c>
      <c r="K1104" s="500">
        <f>ROUND((K1103*(F1104+H1104)),2)</f>
        <v>7767.12</v>
      </c>
      <c r="L1104" s="494"/>
      <c r="M1104" s="494"/>
      <c r="N1104" s="494"/>
      <c r="Q1104" s="595"/>
      <c r="R1104" s="484"/>
      <c r="S1104" s="595"/>
      <c r="T1104" s="595"/>
      <c r="U1104" s="595"/>
    </row>
    <row r="1105" spans="2:21" s="485" customFormat="1" ht="14.1" customHeight="1">
      <c r="B1105" s="951"/>
      <c r="C1105" s="622" t="s">
        <v>222</v>
      </c>
      <c r="D1105" s="623" t="s">
        <v>76</v>
      </c>
      <c r="E1105" s="624"/>
      <c r="F1105" s="624"/>
      <c r="G1105" s="624"/>
      <c r="H1105" s="625"/>
      <c r="I1105" s="624"/>
      <c r="J1105" s="626" t="s">
        <v>226</v>
      </c>
      <c r="K1105" s="627">
        <f>SUM(K1103:K1104)</f>
        <v>72493.119999999995</v>
      </c>
      <c r="L1105" s="620"/>
      <c r="M1105" s="626"/>
      <c r="N1105" s="635"/>
      <c r="Q1105" s="595"/>
      <c r="R1105" s="484"/>
      <c r="S1105" s="595"/>
      <c r="T1105" s="595"/>
      <c r="U1105" s="595"/>
    </row>
    <row r="1106" spans="2:21">
      <c r="Q1106" s="595"/>
      <c r="R1106" s="484"/>
      <c r="S1106" s="595"/>
      <c r="T1106" s="595"/>
      <c r="U1106" s="595"/>
    </row>
    <row r="1107" spans="2:21" s="485" customFormat="1" ht="12.95" hidden="1" customHeight="1">
      <c r="B1107" s="951">
        <f>B1088+1</f>
        <v>56</v>
      </c>
      <c r="C1107" s="488"/>
      <c r="D1107" s="709" t="s">
        <v>456</v>
      </c>
      <c r="H1107" s="488"/>
      <c r="K1107" s="591" t="s">
        <v>455</v>
      </c>
      <c r="L1107" s="591"/>
      <c r="M1107" s="591"/>
      <c r="N1107" s="591"/>
      <c r="O1107" s="485" t="str">
        <f>D1108</f>
        <v>m2</v>
      </c>
      <c r="P1107" s="636">
        <f>K1123</f>
        <v>39574.080000000002</v>
      </c>
      <c r="Q1107" s="593">
        <f>L1121</f>
        <v>0.56614026150449992</v>
      </c>
      <c r="R1107" s="484">
        <f>N1121</f>
        <v>20004</v>
      </c>
      <c r="S1107" s="594"/>
      <c r="T1107" s="484"/>
      <c r="U1107" s="593"/>
    </row>
    <row r="1108" spans="2:21" s="485" customFormat="1" ht="12.95" hidden="1" customHeight="1">
      <c r="B1108" s="951"/>
      <c r="C1108" s="488"/>
      <c r="D1108" s="485" t="s">
        <v>100</v>
      </c>
      <c r="H1108" s="488"/>
      <c r="Q1108" s="595"/>
      <c r="R1108" s="484"/>
      <c r="S1108" s="595"/>
      <c r="T1108" s="595"/>
      <c r="U1108" s="595"/>
    </row>
    <row r="1109" spans="2:21" s="485" customFormat="1" ht="12.95" hidden="1" customHeight="1">
      <c r="B1109" s="951"/>
      <c r="C1109" s="596"/>
      <c r="D1109" s="977" t="s">
        <v>55</v>
      </c>
      <c r="E1109" s="978"/>
      <c r="F1109" s="597"/>
      <c r="G1109" s="981" t="s">
        <v>56</v>
      </c>
      <c r="H1109" s="981" t="s">
        <v>57</v>
      </c>
      <c r="I1109" s="596" t="s">
        <v>58</v>
      </c>
      <c r="J1109" s="596" t="s">
        <v>59</v>
      </c>
      <c r="K1109" s="596" t="s">
        <v>102</v>
      </c>
      <c r="L1109" s="596" t="s">
        <v>418</v>
      </c>
      <c r="M1109" s="596" t="s">
        <v>419</v>
      </c>
      <c r="N1109" s="596" t="s">
        <v>59</v>
      </c>
      <c r="Q1109" s="595"/>
      <c r="R1109" s="484"/>
      <c r="S1109" s="595"/>
      <c r="T1109" s="595"/>
      <c r="U1109" s="595"/>
    </row>
    <row r="1110" spans="2:21" s="485" customFormat="1" ht="12.95" hidden="1" customHeight="1">
      <c r="B1110" s="951"/>
      <c r="C1110" s="598" t="s">
        <v>227</v>
      </c>
      <c r="D1110" s="979"/>
      <c r="E1110" s="980"/>
      <c r="F1110" s="599"/>
      <c r="G1110" s="982"/>
      <c r="H1110" s="982"/>
      <c r="I1110" s="598" t="s">
        <v>60</v>
      </c>
      <c r="J1110" s="598" t="s">
        <v>61</v>
      </c>
      <c r="K1110" s="598" t="s">
        <v>61</v>
      </c>
      <c r="L1110" s="598" t="s">
        <v>421</v>
      </c>
      <c r="M1110" s="598"/>
      <c r="N1110" s="598" t="s">
        <v>423</v>
      </c>
      <c r="Q1110" s="595"/>
      <c r="R1110" s="484"/>
      <c r="S1110" s="595"/>
      <c r="T1110" s="595"/>
      <c r="U1110" s="595"/>
    </row>
    <row r="1111" spans="2:21" s="485" customFormat="1" ht="12.95" hidden="1" customHeight="1">
      <c r="B1111" s="951"/>
      <c r="C1111" s="600"/>
      <c r="D1111" s="969"/>
      <c r="E1111" s="970"/>
      <c r="F1111" s="601"/>
      <c r="G1111" s="973"/>
      <c r="H1111" s="973"/>
      <c r="I1111" s="600" t="s">
        <v>61</v>
      </c>
      <c r="J1111" s="602"/>
      <c r="K1111" s="602"/>
      <c r="L1111" s="602"/>
      <c r="M1111" s="602"/>
      <c r="N1111" s="600" t="s">
        <v>61</v>
      </c>
      <c r="Q1111" s="595"/>
      <c r="R1111" s="484"/>
      <c r="S1111" s="595"/>
      <c r="T1111" s="595"/>
      <c r="U1111" s="595"/>
    </row>
    <row r="1112" spans="2:21" s="485" customFormat="1" ht="12.95" hidden="1" customHeight="1">
      <c r="B1112" s="951"/>
      <c r="C1112" s="596" t="s">
        <v>213</v>
      </c>
      <c r="D1112" s="603" t="s">
        <v>62</v>
      </c>
      <c r="E1112" s="615" t="s">
        <v>180</v>
      </c>
      <c r="F1112" s="615"/>
      <c r="G1112" s="605" t="s">
        <v>100</v>
      </c>
      <c r="H1112" s="616">
        <v>1.05</v>
      </c>
      <c r="I1112" s="491">
        <f>'UPH-TNG'!$I$35</f>
        <v>14600</v>
      </c>
      <c r="J1112" s="491">
        <f>ROUND(H1112*I1112,2)</f>
        <v>15330</v>
      </c>
      <c r="K1112" s="492"/>
      <c r="L1112" s="502">
        <v>0</v>
      </c>
      <c r="M1112" s="494"/>
      <c r="N1112" s="491">
        <f t="shared" ref="N1112:N1120" si="72">L1112*J1112</f>
        <v>0</v>
      </c>
      <c r="Q1112" s="595"/>
      <c r="R1112" s="484"/>
      <c r="S1112" s="595"/>
      <c r="T1112" s="595"/>
      <c r="U1112" s="595"/>
    </row>
    <row r="1113" spans="2:21" s="485" customFormat="1" ht="12.95" hidden="1" customHeight="1">
      <c r="B1113" s="951"/>
      <c r="C1113" s="600"/>
      <c r="D1113" s="602"/>
      <c r="E1113" s="612"/>
      <c r="F1113" s="613"/>
      <c r="G1113" s="610"/>
      <c r="H1113" s="614"/>
      <c r="I1113" s="504"/>
      <c r="J1113" s="495"/>
      <c r="K1113" s="491">
        <f>SUM(J1112:J1112)</f>
        <v>15330</v>
      </c>
      <c r="L1113" s="502"/>
      <c r="M1113" s="494"/>
      <c r="N1113" s="491">
        <f t="shared" si="72"/>
        <v>0</v>
      </c>
      <c r="Q1113" s="595"/>
      <c r="R1113" s="484"/>
      <c r="S1113" s="595"/>
      <c r="T1113" s="595"/>
      <c r="U1113" s="595"/>
    </row>
    <row r="1114" spans="2:21" s="485" customFormat="1" ht="12.95" hidden="1" customHeight="1">
      <c r="B1114" s="951"/>
      <c r="C1114" s="596" t="s">
        <v>214</v>
      </c>
      <c r="D1114" s="603" t="s">
        <v>63</v>
      </c>
      <c r="E1114" s="615" t="s">
        <v>69</v>
      </c>
      <c r="F1114" s="615"/>
      <c r="G1114" s="605" t="s">
        <v>66</v>
      </c>
      <c r="H1114" s="616">
        <v>0.15</v>
      </c>
      <c r="I1114" s="491">
        <f>'UPH-TNG'!$I$15</f>
        <v>92000</v>
      </c>
      <c r="J1114" s="491">
        <f>ROUND(H1114*I1114,2)</f>
        <v>13800</v>
      </c>
      <c r="K1114" s="492"/>
      <c r="L1114" s="493">
        <v>1</v>
      </c>
      <c r="M1114" s="493" t="s">
        <v>422</v>
      </c>
      <c r="N1114" s="491">
        <f t="shared" si="72"/>
        <v>13800</v>
      </c>
      <c r="Q1114" s="595"/>
      <c r="R1114" s="484"/>
      <c r="S1114" s="595"/>
      <c r="T1114" s="595"/>
      <c r="U1114" s="595"/>
    </row>
    <row r="1115" spans="2:21" s="485" customFormat="1" ht="12.95" hidden="1" customHeight="1">
      <c r="B1115" s="951"/>
      <c r="C1115" s="598"/>
      <c r="D1115" s="607"/>
      <c r="E1115" s="615" t="s">
        <v>93</v>
      </c>
      <c r="F1115" s="615"/>
      <c r="G1115" s="605" t="s">
        <v>66</v>
      </c>
      <c r="H1115" s="616">
        <v>0.05</v>
      </c>
      <c r="I1115" s="491">
        <f>'UPH-TNG'!$I$24</f>
        <v>98000</v>
      </c>
      <c r="J1115" s="491">
        <f>ROUND(H1115*I1115,2)</f>
        <v>4900</v>
      </c>
      <c r="K1115" s="496"/>
      <c r="L1115" s="493">
        <v>1</v>
      </c>
      <c r="M1115" s="493" t="s">
        <v>422</v>
      </c>
      <c r="N1115" s="491">
        <f t="shared" si="72"/>
        <v>4900</v>
      </c>
      <c r="Q1115" s="595"/>
      <c r="R1115" s="484"/>
      <c r="S1115" s="595"/>
      <c r="T1115" s="595"/>
      <c r="U1115" s="595"/>
    </row>
    <row r="1116" spans="2:21" s="485" customFormat="1" ht="12.95" hidden="1" customHeight="1">
      <c r="B1116" s="951"/>
      <c r="C1116" s="598"/>
      <c r="D1116" s="607"/>
      <c r="E1116" s="615" t="s">
        <v>71</v>
      </c>
      <c r="F1116" s="615"/>
      <c r="G1116" s="605" t="s">
        <v>66</v>
      </c>
      <c r="H1116" s="616">
        <v>5.0000000000000001E-3</v>
      </c>
      <c r="I1116" s="491">
        <f>'UPH-TNG'!$I$19</f>
        <v>104000</v>
      </c>
      <c r="J1116" s="491">
        <f>ROUND(H1116*I1116,2)</f>
        <v>520</v>
      </c>
      <c r="K1116" s="496"/>
      <c r="L1116" s="493">
        <v>1</v>
      </c>
      <c r="M1116" s="493" t="s">
        <v>422</v>
      </c>
      <c r="N1116" s="491">
        <f t="shared" si="72"/>
        <v>520</v>
      </c>
      <c r="Q1116" s="595"/>
      <c r="R1116" s="484"/>
      <c r="S1116" s="595"/>
      <c r="T1116" s="595"/>
      <c r="U1116" s="595"/>
    </row>
    <row r="1117" spans="2:21" s="485" customFormat="1" ht="12.95" hidden="1" customHeight="1">
      <c r="B1117" s="951"/>
      <c r="C1117" s="598"/>
      <c r="D1117" s="607"/>
      <c r="E1117" s="615" t="s">
        <v>65</v>
      </c>
      <c r="F1117" s="615"/>
      <c r="G1117" s="605" t="s">
        <v>66</v>
      </c>
      <c r="H1117" s="616">
        <v>8.0000000000000002E-3</v>
      </c>
      <c r="I1117" s="491">
        <f>'UPH-TNG'!$I$20</f>
        <v>98000</v>
      </c>
      <c r="J1117" s="491">
        <f>ROUND(H1117*I1117,2)</f>
        <v>784</v>
      </c>
      <c r="K1117" s="607"/>
      <c r="L1117" s="493">
        <v>1</v>
      </c>
      <c r="M1117" s="493" t="s">
        <v>422</v>
      </c>
      <c r="N1117" s="491">
        <f t="shared" si="72"/>
        <v>784</v>
      </c>
      <c r="Q1117" s="595"/>
      <c r="R1117" s="484"/>
      <c r="S1117" s="595"/>
      <c r="T1117" s="595"/>
      <c r="U1117" s="595"/>
    </row>
    <row r="1118" spans="2:21" s="485" customFormat="1" ht="12.95" hidden="1" customHeight="1">
      <c r="B1118" s="951"/>
      <c r="C1118" s="600"/>
      <c r="D1118" s="602"/>
      <c r="E1118" s="612"/>
      <c r="F1118" s="613"/>
      <c r="G1118" s="610"/>
      <c r="H1118" s="614"/>
      <c r="I1118" s="504"/>
      <c r="J1118" s="495"/>
      <c r="K1118" s="494">
        <f>SUM(J1114:J1117)</f>
        <v>20004</v>
      </c>
      <c r="L1118" s="502"/>
      <c r="M1118" s="494"/>
      <c r="N1118" s="491">
        <f t="shared" si="72"/>
        <v>0</v>
      </c>
      <c r="Q1118" s="595"/>
      <c r="R1118" s="484"/>
      <c r="S1118" s="595"/>
      <c r="T1118" s="595"/>
      <c r="U1118" s="595"/>
    </row>
    <row r="1119" spans="2:21" s="485" customFormat="1" ht="12.95" hidden="1" customHeight="1">
      <c r="B1119" s="951"/>
      <c r="C1119" s="596" t="s">
        <v>215</v>
      </c>
      <c r="D1119" s="603" t="s">
        <v>212</v>
      </c>
      <c r="E1119" s="615"/>
      <c r="F1119" s="615"/>
      <c r="G1119" s="605"/>
      <c r="H1119" s="616"/>
      <c r="I1119" s="617"/>
      <c r="J1119" s="491"/>
      <c r="K1119" s="492"/>
      <c r="L1119" s="502"/>
      <c r="M1119" s="494"/>
      <c r="N1119" s="491">
        <f t="shared" si="72"/>
        <v>0</v>
      </c>
      <c r="Q1119" s="595"/>
      <c r="R1119" s="484"/>
      <c r="S1119" s="595"/>
      <c r="T1119" s="595"/>
      <c r="U1119" s="595"/>
    </row>
    <row r="1120" spans="2:21" s="485" customFormat="1" ht="12.95" hidden="1" customHeight="1">
      <c r="B1120" s="951"/>
      <c r="C1120" s="600"/>
      <c r="D1120" s="602"/>
      <c r="E1120" s="612"/>
      <c r="F1120" s="613"/>
      <c r="G1120" s="610"/>
      <c r="H1120" s="614"/>
      <c r="I1120" s="618"/>
      <c r="J1120" s="495"/>
      <c r="K1120" s="494">
        <f>SUM(J1119:J1119)</f>
        <v>0</v>
      </c>
      <c r="L1120" s="502"/>
      <c r="M1120" s="494"/>
      <c r="N1120" s="491">
        <f t="shared" si="72"/>
        <v>0</v>
      </c>
      <c r="Q1120" s="595"/>
      <c r="R1120" s="484"/>
      <c r="S1120" s="595"/>
      <c r="T1120" s="595"/>
      <c r="U1120" s="595"/>
    </row>
    <row r="1121" spans="2:21" s="485" customFormat="1" ht="12.95" hidden="1" customHeight="1">
      <c r="B1121" s="951"/>
      <c r="C1121" s="605" t="s">
        <v>216</v>
      </c>
      <c r="D1121" s="619" t="s">
        <v>219</v>
      </c>
      <c r="E1121" s="613"/>
      <c r="F1121" s="613"/>
      <c r="G1121" s="610"/>
      <c r="H1121" s="614"/>
      <c r="I1121" s="618"/>
      <c r="J1121" s="497" t="s">
        <v>220</v>
      </c>
      <c r="K1121" s="494">
        <f>K1113+K1118+K1120</f>
        <v>35334</v>
      </c>
      <c r="L1121" s="503">
        <f>N1121/K1121</f>
        <v>0.56614026150449992</v>
      </c>
      <c r="M1121" s="497"/>
      <c r="N1121" s="498">
        <f>SUM(N1110:N1120)</f>
        <v>20004</v>
      </c>
      <c r="Q1121" s="595"/>
      <c r="R1121" s="484"/>
      <c r="S1121" s="595"/>
      <c r="T1121" s="595"/>
      <c r="U1121" s="595"/>
    </row>
    <row r="1122" spans="2:21" s="485" customFormat="1" ht="12.95" hidden="1" customHeight="1">
      <c r="B1122" s="951"/>
      <c r="C1122" s="605" t="s">
        <v>217</v>
      </c>
      <c r="D1122" s="619" t="s">
        <v>221</v>
      </c>
      <c r="E1122" s="613"/>
      <c r="F1122" s="499">
        <f>$F$48</f>
        <v>0.1</v>
      </c>
      <c r="G1122" s="605" t="s">
        <v>168</v>
      </c>
      <c r="H1122" s="499">
        <f>$H$48</f>
        <v>0.02</v>
      </c>
      <c r="I1122" s="621" t="s">
        <v>167</v>
      </c>
      <c r="J1122" s="494" t="s">
        <v>216</v>
      </c>
      <c r="K1122" s="500">
        <f>ROUND((K1121*(F1122+H1122)),2)</f>
        <v>4240.08</v>
      </c>
      <c r="L1122" s="494"/>
      <c r="M1122" s="494"/>
      <c r="N1122" s="494"/>
      <c r="Q1122" s="595"/>
      <c r="R1122" s="484"/>
      <c r="S1122" s="595"/>
      <c r="T1122" s="595"/>
      <c r="U1122" s="595"/>
    </row>
    <row r="1123" spans="2:21" s="485" customFormat="1" ht="12.95" hidden="1" customHeight="1">
      <c r="B1123" s="951"/>
      <c r="C1123" s="622" t="s">
        <v>222</v>
      </c>
      <c r="D1123" s="623" t="s">
        <v>76</v>
      </c>
      <c r="E1123" s="624"/>
      <c r="F1123" s="624"/>
      <c r="G1123" s="624"/>
      <c r="H1123" s="625"/>
      <c r="I1123" s="624"/>
      <c r="J1123" s="626" t="s">
        <v>226</v>
      </c>
      <c r="K1123" s="627">
        <f>SUM(K1121:K1122)</f>
        <v>39574.080000000002</v>
      </c>
      <c r="L1123" s="620"/>
      <c r="M1123" s="626"/>
      <c r="N1123" s="635"/>
      <c r="Q1123" s="595"/>
      <c r="R1123" s="484"/>
      <c r="S1123" s="595"/>
      <c r="T1123" s="595"/>
      <c r="U1123" s="595"/>
    </row>
    <row r="1124" spans="2:21" hidden="1">
      <c r="Q1124" s="595"/>
      <c r="R1124" s="484"/>
      <c r="S1124" s="595"/>
      <c r="T1124" s="595"/>
      <c r="U1124" s="595"/>
    </row>
    <row r="1125" spans="2:21" s="485" customFormat="1" ht="14.1" hidden="1" customHeight="1">
      <c r="B1125" s="951">
        <f>B1107+1</f>
        <v>57</v>
      </c>
      <c r="C1125" s="488"/>
      <c r="D1125" s="709" t="s">
        <v>514</v>
      </c>
      <c r="H1125" s="488"/>
      <c r="K1125" s="591" t="s">
        <v>250</v>
      </c>
      <c r="L1125" s="591"/>
      <c r="M1125" s="591"/>
      <c r="N1125" s="591"/>
      <c r="O1125" s="485" t="str">
        <f>D1126</f>
        <v>bh</v>
      </c>
      <c r="P1125" s="636">
        <f>K1143</f>
        <v>2416848</v>
      </c>
      <c r="Q1125" s="593">
        <f>L1141</f>
        <v>0.43300569998609761</v>
      </c>
      <c r="R1125" s="484">
        <f>N1141</f>
        <v>934383</v>
      </c>
      <c r="S1125" s="594"/>
      <c r="T1125" s="484"/>
      <c r="U1125" s="593"/>
    </row>
    <row r="1126" spans="2:21" s="485" customFormat="1" ht="14.1" hidden="1" customHeight="1">
      <c r="B1126" s="951"/>
      <c r="C1126" s="488"/>
      <c r="D1126" s="485" t="s">
        <v>45</v>
      </c>
      <c r="H1126" s="488"/>
      <c r="Q1126" s="595"/>
      <c r="R1126" s="484"/>
      <c r="S1126" s="595"/>
      <c r="T1126" s="595"/>
      <c r="U1126" s="595"/>
    </row>
    <row r="1127" spans="2:21" s="485" customFormat="1" ht="14.1" hidden="1" customHeight="1">
      <c r="B1127" s="951"/>
      <c r="C1127" s="596"/>
      <c r="D1127" s="977" t="s">
        <v>55</v>
      </c>
      <c r="E1127" s="978"/>
      <c r="F1127" s="597"/>
      <c r="G1127" s="981" t="s">
        <v>56</v>
      </c>
      <c r="H1127" s="981" t="s">
        <v>57</v>
      </c>
      <c r="I1127" s="596" t="s">
        <v>58</v>
      </c>
      <c r="J1127" s="596" t="s">
        <v>59</v>
      </c>
      <c r="K1127" s="596" t="s">
        <v>102</v>
      </c>
      <c r="L1127" s="596" t="s">
        <v>418</v>
      </c>
      <c r="M1127" s="596" t="s">
        <v>419</v>
      </c>
      <c r="N1127" s="596" t="s">
        <v>59</v>
      </c>
      <c r="Q1127" s="595"/>
      <c r="R1127" s="484"/>
      <c r="S1127" s="595"/>
      <c r="T1127" s="595"/>
      <c r="U1127" s="595"/>
    </row>
    <row r="1128" spans="2:21" s="485" customFormat="1" ht="14.1" hidden="1" customHeight="1">
      <c r="B1128" s="951"/>
      <c r="C1128" s="598" t="s">
        <v>227</v>
      </c>
      <c r="D1128" s="979"/>
      <c r="E1128" s="980"/>
      <c r="F1128" s="599"/>
      <c r="G1128" s="982"/>
      <c r="H1128" s="982"/>
      <c r="I1128" s="598" t="s">
        <v>60</v>
      </c>
      <c r="J1128" s="598" t="s">
        <v>61</v>
      </c>
      <c r="K1128" s="598" t="s">
        <v>61</v>
      </c>
      <c r="L1128" s="598" t="s">
        <v>421</v>
      </c>
      <c r="M1128" s="598"/>
      <c r="N1128" s="598" t="s">
        <v>423</v>
      </c>
      <c r="Q1128" s="595"/>
      <c r="R1128" s="484"/>
      <c r="S1128" s="595"/>
      <c r="T1128" s="595"/>
      <c r="U1128" s="595"/>
    </row>
    <row r="1129" spans="2:21" s="485" customFormat="1" ht="14.1" hidden="1" customHeight="1">
      <c r="B1129" s="951"/>
      <c r="C1129" s="600"/>
      <c r="D1129" s="969"/>
      <c r="E1129" s="970"/>
      <c r="F1129" s="601"/>
      <c r="G1129" s="973"/>
      <c r="H1129" s="973"/>
      <c r="I1129" s="600" t="s">
        <v>61</v>
      </c>
      <c r="J1129" s="602"/>
      <c r="K1129" s="602"/>
      <c r="L1129" s="602"/>
      <c r="M1129" s="602"/>
      <c r="N1129" s="600" t="s">
        <v>61</v>
      </c>
      <c r="Q1129" s="595"/>
      <c r="R1129" s="484"/>
      <c r="S1129" s="595"/>
      <c r="T1129" s="595"/>
      <c r="U1129" s="595"/>
    </row>
    <row r="1130" spans="2:21" s="485" customFormat="1" ht="14.1" hidden="1" customHeight="1">
      <c r="B1130" s="951"/>
      <c r="C1130" s="596" t="s">
        <v>213</v>
      </c>
      <c r="D1130" s="603" t="s">
        <v>62</v>
      </c>
      <c r="E1130" s="710" t="s">
        <v>162</v>
      </c>
      <c r="F1130" s="710"/>
      <c r="G1130" s="605" t="s">
        <v>51</v>
      </c>
      <c r="H1130" s="711">
        <v>1</v>
      </c>
      <c r="I1130" s="491">
        <f>'UPH-TNG'!$I$55</f>
        <v>1878000</v>
      </c>
      <c r="J1130" s="491">
        <f>ROUND(H1130*I1130,2)</f>
        <v>1878000</v>
      </c>
      <c r="K1130" s="492"/>
      <c r="L1130" s="501">
        <v>0.36349999999999999</v>
      </c>
      <c r="M1130" s="494" t="s">
        <v>429</v>
      </c>
      <c r="N1130" s="491">
        <f t="shared" ref="N1130:N1140" si="73">L1130*J1130</f>
        <v>682653</v>
      </c>
      <c r="Q1130" s="595"/>
      <c r="R1130" s="484"/>
      <c r="S1130" s="595"/>
      <c r="T1130" s="595"/>
      <c r="U1130" s="595"/>
    </row>
    <row r="1131" spans="2:21" s="485" customFormat="1" ht="14.1" hidden="1" customHeight="1">
      <c r="B1131" s="951"/>
      <c r="C1131" s="598"/>
      <c r="D1131" s="607"/>
      <c r="E1131" s="710" t="s">
        <v>130</v>
      </c>
      <c r="F1131" s="710"/>
      <c r="G1131" s="605" t="s">
        <v>49</v>
      </c>
      <c r="H1131" s="711">
        <v>1</v>
      </c>
      <c r="I1131" s="491">
        <f>I1130*6%</f>
        <v>112680</v>
      </c>
      <c r="J1131" s="491">
        <f>ROUND(H1131*I1131,2)</f>
        <v>112680</v>
      </c>
      <c r="K1131" s="511"/>
      <c r="L1131" s="501">
        <v>0.75</v>
      </c>
      <c r="M1131" s="494" t="s">
        <v>430</v>
      </c>
      <c r="N1131" s="491">
        <f t="shared" si="73"/>
        <v>84510</v>
      </c>
      <c r="Q1131" s="595"/>
      <c r="R1131" s="484"/>
      <c r="S1131" s="595"/>
      <c r="T1131" s="595"/>
      <c r="U1131" s="595"/>
    </row>
    <row r="1132" spans="2:21" s="485" customFormat="1" ht="14.1" hidden="1" customHeight="1">
      <c r="B1132" s="951"/>
      <c r="C1132" s="607"/>
      <c r="D1132" s="607"/>
      <c r="E1132" s="710" t="s">
        <v>163</v>
      </c>
      <c r="F1132" s="710"/>
      <c r="G1132" s="605"/>
      <c r="H1132" s="711"/>
      <c r="I1132" s="491"/>
      <c r="J1132" s="491"/>
      <c r="K1132" s="511"/>
      <c r="L1132" s="501"/>
      <c r="M1132" s="494"/>
      <c r="N1132" s="491">
        <f t="shared" si="73"/>
        <v>0</v>
      </c>
      <c r="Q1132" s="595"/>
      <c r="R1132" s="484"/>
      <c r="S1132" s="595"/>
      <c r="T1132" s="595"/>
      <c r="U1132" s="595"/>
    </row>
    <row r="1133" spans="2:21" s="485" customFormat="1" ht="14.1" hidden="1" customHeight="1">
      <c r="B1133" s="951"/>
      <c r="C1133" s="600"/>
      <c r="D1133" s="607"/>
      <c r="E1133" s="712"/>
      <c r="F1133" s="713"/>
      <c r="G1133" s="610"/>
      <c r="H1133" s="714"/>
      <c r="I1133" s="504"/>
      <c r="J1133" s="495"/>
      <c r="K1133" s="491">
        <f>SUM(J1130:J1132)</f>
        <v>1990680</v>
      </c>
      <c r="L1133" s="501"/>
      <c r="M1133" s="494"/>
      <c r="N1133" s="491">
        <f t="shared" si="73"/>
        <v>0</v>
      </c>
      <c r="Q1133" s="595"/>
      <c r="R1133" s="484"/>
      <c r="S1133" s="595"/>
      <c r="T1133" s="595"/>
      <c r="U1133" s="595"/>
    </row>
    <row r="1134" spans="2:21" s="485" customFormat="1" ht="14.1" hidden="1" customHeight="1">
      <c r="B1134" s="951"/>
      <c r="C1134" s="596" t="s">
        <v>214</v>
      </c>
      <c r="D1134" s="603" t="s">
        <v>63</v>
      </c>
      <c r="E1134" s="710" t="s">
        <v>64</v>
      </c>
      <c r="F1134" s="710"/>
      <c r="G1134" s="605" t="s">
        <v>66</v>
      </c>
      <c r="H1134" s="711">
        <v>0.5</v>
      </c>
      <c r="I1134" s="491">
        <f>'UPH-TNG'!$I$15</f>
        <v>92000</v>
      </c>
      <c r="J1134" s="491">
        <f>ROUND(H1134*I1134,2)</f>
        <v>46000</v>
      </c>
      <c r="K1134" s="492"/>
      <c r="L1134" s="493">
        <v>1</v>
      </c>
      <c r="M1134" s="493" t="s">
        <v>422</v>
      </c>
      <c r="N1134" s="491">
        <f t="shared" si="73"/>
        <v>46000</v>
      </c>
      <c r="Q1134" s="595"/>
      <c r="R1134" s="484"/>
      <c r="S1134" s="595"/>
      <c r="T1134" s="595"/>
      <c r="U1134" s="595"/>
    </row>
    <row r="1135" spans="2:21" s="485" customFormat="1" ht="14.1" hidden="1" customHeight="1">
      <c r="B1135" s="951"/>
      <c r="C1135" s="598"/>
      <c r="D1135" s="607"/>
      <c r="E1135" s="710" t="s">
        <v>125</v>
      </c>
      <c r="F1135" s="710"/>
      <c r="G1135" s="605" t="s">
        <v>66</v>
      </c>
      <c r="H1135" s="711">
        <v>1.1000000000000001</v>
      </c>
      <c r="I1135" s="491">
        <f>'UPH-TNG'!$I$21</f>
        <v>95000</v>
      </c>
      <c r="J1135" s="491">
        <f>ROUND(H1135*I1135,2)</f>
        <v>104500</v>
      </c>
      <c r="K1135" s="496"/>
      <c r="L1135" s="493">
        <v>1</v>
      </c>
      <c r="M1135" s="493" t="s">
        <v>422</v>
      </c>
      <c r="N1135" s="491">
        <f t="shared" si="73"/>
        <v>104500</v>
      </c>
      <c r="Q1135" s="595"/>
      <c r="R1135" s="484"/>
      <c r="S1135" s="595"/>
      <c r="T1135" s="595"/>
      <c r="U1135" s="595"/>
    </row>
    <row r="1136" spans="2:21" s="485" customFormat="1" ht="14.1" hidden="1" customHeight="1">
      <c r="B1136" s="951"/>
      <c r="C1136" s="598"/>
      <c r="D1136" s="607"/>
      <c r="E1136" s="710" t="s">
        <v>238</v>
      </c>
      <c r="F1136" s="710"/>
      <c r="G1136" s="605" t="s">
        <v>66</v>
      </c>
      <c r="H1136" s="711">
        <v>0.01</v>
      </c>
      <c r="I1136" s="491">
        <f>'UPH-TNG'!$I$16</f>
        <v>104000</v>
      </c>
      <c r="J1136" s="491">
        <f>ROUND(H1136*I1136,2)</f>
        <v>1040</v>
      </c>
      <c r="K1136" s="496"/>
      <c r="L1136" s="493">
        <v>1</v>
      </c>
      <c r="M1136" s="493" t="s">
        <v>422</v>
      </c>
      <c r="N1136" s="491">
        <f t="shared" si="73"/>
        <v>1040</v>
      </c>
      <c r="Q1136" s="595"/>
      <c r="R1136" s="484"/>
      <c r="S1136" s="595"/>
      <c r="T1136" s="595"/>
      <c r="U1136" s="595"/>
    </row>
    <row r="1137" spans="2:21" s="485" customFormat="1" ht="14.1" hidden="1" customHeight="1">
      <c r="B1137" s="951"/>
      <c r="C1137" s="607"/>
      <c r="D1137" s="607"/>
      <c r="E1137" s="710" t="s">
        <v>65</v>
      </c>
      <c r="F1137" s="710"/>
      <c r="G1137" s="605" t="s">
        <v>66</v>
      </c>
      <c r="H1137" s="711">
        <v>0.16</v>
      </c>
      <c r="I1137" s="491">
        <f>'UPH-TNG'!$I$20</f>
        <v>98000</v>
      </c>
      <c r="J1137" s="491">
        <f>ROUND(H1137*I1137,2)</f>
        <v>15680</v>
      </c>
      <c r="K1137" s="607"/>
      <c r="L1137" s="493">
        <v>1</v>
      </c>
      <c r="M1137" s="493" t="s">
        <v>422</v>
      </c>
      <c r="N1137" s="491">
        <f t="shared" si="73"/>
        <v>15680</v>
      </c>
      <c r="Q1137" s="595"/>
      <c r="R1137" s="484"/>
      <c r="S1137" s="595"/>
      <c r="T1137" s="595"/>
      <c r="U1137" s="595"/>
    </row>
    <row r="1138" spans="2:21" s="485" customFormat="1" ht="14.1" hidden="1" customHeight="1">
      <c r="B1138" s="951"/>
      <c r="C1138" s="600"/>
      <c r="D1138" s="602"/>
      <c r="E1138" s="612"/>
      <c r="F1138" s="613"/>
      <c r="G1138" s="610"/>
      <c r="H1138" s="614"/>
      <c r="I1138" s="504"/>
      <c r="J1138" s="495"/>
      <c r="K1138" s="494">
        <f>SUM(J1134:J1137)</f>
        <v>167220</v>
      </c>
      <c r="L1138" s="501"/>
      <c r="M1138" s="494"/>
      <c r="N1138" s="491">
        <f t="shared" si="73"/>
        <v>0</v>
      </c>
      <c r="Q1138" s="595"/>
      <c r="R1138" s="484"/>
      <c r="S1138" s="595"/>
      <c r="T1138" s="595"/>
      <c r="U1138" s="595"/>
    </row>
    <row r="1139" spans="2:21" s="485" customFormat="1" ht="14.1" hidden="1" customHeight="1">
      <c r="B1139" s="951"/>
      <c r="C1139" s="596" t="s">
        <v>215</v>
      </c>
      <c r="D1139" s="603" t="s">
        <v>212</v>
      </c>
      <c r="E1139" s="615"/>
      <c r="F1139" s="615"/>
      <c r="G1139" s="605"/>
      <c r="H1139" s="616"/>
      <c r="I1139" s="617"/>
      <c r="J1139" s="491"/>
      <c r="K1139" s="492"/>
      <c r="L1139" s="501"/>
      <c r="M1139" s="494"/>
      <c r="N1139" s="491">
        <f t="shared" si="73"/>
        <v>0</v>
      </c>
      <c r="Q1139" s="595"/>
      <c r="R1139" s="484"/>
      <c r="S1139" s="595"/>
      <c r="T1139" s="595"/>
      <c r="U1139" s="595"/>
    </row>
    <row r="1140" spans="2:21" s="485" customFormat="1" ht="14.1" hidden="1" customHeight="1">
      <c r="B1140" s="951"/>
      <c r="C1140" s="600"/>
      <c r="D1140" s="602"/>
      <c r="E1140" s="612"/>
      <c r="F1140" s="613"/>
      <c r="G1140" s="610"/>
      <c r="H1140" s="614"/>
      <c r="I1140" s="618"/>
      <c r="J1140" s="495"/>
      <c r="K1140" s="494">
        <f>SUM(J1139:J1139)</f>
        <v>0</v>
      </c>
      <c r="L1140" s="501"/>
      <c r="M1140" s="494"/>
      <c r="N1140" s="491">
        <f t="shared" si="73"/>
        <v>0</v>
      </c>
      <c r="Q1140" s="595"/>
      <c r="R1140" s="484"/>
      <c r="S1140" s="595"/>
      <c r="T1140" s="595"/>
      <c r="U1140" s="595"/>
    </row>
    <row r="1141" spans="2:21" s="485" customFormat="1" ht="14.1" hidden="1" customHeight="1">
      <c r="B1141" s="951"/>
      <c r="C1141" s="605" t="s">
        <v>216</v>
      </c>
      <c r="D1141" s="619" t="s">
        <v>219</v>
      </c>
      <c r="E1141" s="613"/>
      <c r="F1141" s="613"/>
      <c r="G1141" s="610"/>
      <c r="H1141" s="614"/>
      <c r="I1141" s="618"/>
      <c r="J1141" s="497" t="s">
        <v>220</v>
      </c>
      <c r="K1141" s="494">
        <f>K1133+K1138+K1140</f>
        <v>2157900</v>
      </c>
      <c r="L1141" s="649">
        <f>N1141/K1141</f>
        <v>0.43300569998609761</v>
      </c>
      <c r="M1141" s="497"/>
      <c r="N1141" s="498">
        <f>SUM(N1130:N1140)</f>
        <v>934383</v>
      </c>
      <c r="Q1141" s="595"/>
      <c r="R1141" s="484"/>
      <c r="S1141" s="595"/>
      <c r="T1141" s="595"/>
      <c r="U1141" s="595"/>
    </row>
    <row r="1142" spans="2:21" s="485" customFormat="1" ht="14.1" hidden="1" customHeight="1">
      <c r="B1142" s="951"/>
      <c r="C1142" s="605" t="s">
        <v>217</v>
      </c>
      <c r="D1142" s="619" t="s">
        <v>221</v>
      </c>
      <c r="E1142" s="613"/>
      <c r="F1142" s="499">
        <f>$F$48</f>
        <v>0.1</v>
      </c>
      <c r="G1142" s="605" t="s">
        <v>168</v>
      </c>
      <c r="H1142" s="499">
        <f>$H$48</f>
        <v>0.02</v>
      </c>
      <c r="I1142" s="621" t="s">
        <v>167</v>
      </c>
      <c r="J1142" s="494" t="s">
        <v>216</v>
      </c>
      <c r="K1142" s="500">
        <f>ROUND((K1141*(F1142+H1142)),2)</f>
        <v>258948</v>
      </c>
      <c r="L1142" s="494"/>
      <c r="M1142" s="494"/>
      <c r="N1142" s="494"/>
      <c r="Q1142" s="595"/>
      <c r="R1142" s="484"/>
      <c r="S1142" s="595"/>
      <c r="T1142" s="595"/>
      <c r="U1142" s="595"/>
    </row>
    <row r="1143" spans="2:21" s="485" customFormat="1" ht="14.1" hidden="1" customHeight="1">
      <c r="B1143" s="951"/>
      <c r="C1143" s="622" t="s">
        <v>222</v>
      </c>
      <c r="D1143" s="623" t="s">
        <v>76</v>
      </c>
      <c r="E1143" s="624"/>
      <c r="F1143" s="624"/>
      <c r="G1143" s="624"/>
      <c r="H1143" s="625"/>
      <c r="I1143" s="624"/>
      <c r="J1143" s="626" t="s">
        <v>226</v>
      </c>
      <c r="K1143" s="627">
        <f>SUM(K1141:K1142)</f>
        <v>2416848</v>
      </c>
      <c r="L1143" s="620"/>
      <c r="M1143" s="626"/>
      <c r="N1143" s="635"/>
      <c r="Q1143" s="595"/>
      <c r="R1143" s="484"/>
      <c r="S1143" s="595"/>
      <c r="T1143" s="595"/>
      <c r="U1143" s="595"/>
    </row>
    <row r="1144" spans="2:21" hidden="1">
      <c r="Q1144" s="595"/>
      <c r="R1144" s="484"/>
      <c r="S1144" s="595"/>
      <c r="T1144" s="595"/>
      <c r="U1144" s="595"/>
    </row>
    <row r="1145" spans="2:21" s="485" customFormat="1" ht="14.1" customHeight="1">
      <c r="B1145" s="951">
        <f>B1125+1</f>
        <v>58</v>
      </c>
      <c r="C1145" s="488"/>
      <c r="D1145" s="709" t="s">
        <v>515</v>
      </c>
      <c r="H1145" s="488"/>
      <c r="K1145" s="591" t="s">
        <v>257</v>
      </c>
      <c r="L1145" s="591"/>
      <c r="M1145" s="591"/>
      <c r="N1145" s="591"/>
      <c r="O1145" s="485" t="str">
        <f>D1146</f>
        <v>bh</v>
      </c>
      <c r="P1145" s="636">
        <f>K1163</f>
        <v>590385.6</v>
      </c>
      <c r="Q1145" s="593">
        <f>L1161</f>
        <v>0.90234115872744858</v>
      </c>
      <c r="R1145" s="484">
        <f>N1161</f>
        <v>475651.09499999997</v>
      </c>
      <c r="S1145" s="594"/>
      <c r="T1145" s="484"/>
      <c r="U1145" s="593"/>
    </row>
    <row r="1146" spans="2:21" s="485" customFormat="1" ht="14.1" customHeight="1">
      <c r="B1146" s="951"/>
      <c r="C1146" s="488"/>
      <c r="D1146" s="485" t="s">
        <v>45</v>
      </c>
      <c r="H1146" s="488"/>
      <c r="Q1146" s="595"/>
      <c r="R1146" s="484"/>
      <c r="S1146" s="595"/>
      <c r="T1146" s="595"/>
      <c r="U1146" s="595"/>
    </row>
    <row r="1147" spans="2:21" s="485" customFormat="1" ht="14.1" customHeight="1">
      <c r="B1147" s="951"/>
      <c r="C1147" s="596"/>
      <c r="D1147" s="977" t="s">
        <v>55</v>
      </c>
      <c r="E1147" s="978"/>
      <c r="F1147" s="597"/>
      <c r="G1147" s="981" t="s">
        <v>56</v>
      </c>
      <c r="H1147" s="981" t="s">
        <v>57</v>
      </c>
      <c r="I1147" s="596" t="s">
        <v>58</v>
      </c>
      <c r="J1147" s="596" t="s">
        <v>59</v>
      </c>
      <c r="K1147" s="596" t="s">
        <v>102</v>
      </c>
      <c r="L1147" s="596" t="s">
        <v>418</v>
      </c>
      <c r="M1147" s="596" t="s">
        <v>419</v>
      </c>
      <c r="N1147" s="596" t="s">
        <v>59</v>
      </c>
      <c r="Q1147" s="595"/>
      <c r="R1147" s="484"/>
      <c r="S1147" s="595"/>
      <c r="T1147" s="595"/>
      <c r="U1147" s="595"/>
    </row>
    <row r="1148" spans="2:21" s="485" customFormat="1" ht="14.1" customHeight="1">
      <c r="B1148" s="951"/>
      <c r="C1148" s="598" t="s">
        <v>227</v>
      </c>
      <c r="D1148" s="979"/>
      <c r="E1148" s="980"/>
      <c r="F1148" s="599"/>
      <c r="G1148" s="982"/>
      <c r="H1148" s="982"/>
      <c r="I1148" s="598" t="s">
        <v>60</v>
      </c>
      <c r="J1148" s="598" t="s">
        <v>61</v>
      </c>
      <c r="K1148" s="598" t="s">
        <v>61</v>
      </c>
      <c r="L1148" s="598" t="s">
        <v>421</v>
      </c>
      <c r="M1148" s="598"/>
      <c r="N1148" s="598" t="s">
        <v>423</v>
      </c>
      <c r="Q1148" s="595"/>
      <c r="R1148" s="484"/>
      <c r="S1148" s="595"/>
      <c r="T1148" s="595"/>
      <c r="U1148" s="595"/>
    </row>
    <row r="1149" spans="2:21" s="485" customFormat="1" ht="14.1" customHeight="1">
      <c r="B1149" s="951"/>
      <c r="C1149" s="600"/>
      <c r="D1149" s="969"/>
      <c r="E1149" s="970"/>
      <c r="F1149" s="601"/>
      <c r="G1149" s="973"/>
      <c r="H1149" s="973"/>
      <c r="I1149" s="600" t="s">
        <v>61</v>
      </c>
      <c r="J1149" s="602"/>
      <c r="K1149" s="602"/>
      <c r="L1149" s="602"/>
      <c r="M1149" s="602"/>
      <c r="N1149" s="600" t="s">
        <v>61</v>
      </c>
      <c r="Q1149" s="595"/>
      <c r="R1149" s="484"/>
      <c r="S1149" s="595"/>
      <c r="T1149" s="595"/>
      <c r="U1149" s="595"/>
    </row>
    <row r="1150" spans="2:21" s="485" customFormat="1" ht="14.1" customHeight="1">
      <c r="B1150" s="951"/>
      <c r="C1150" s="596" t="s">
        <v>213</v>
      </c>
      <c r="D1150" s="603" t="s">
        <v>62</v>
      </c>
      <c r="E1150" s="710" t="s">
        <v>259</v>
      </c>
      <c r="F1150" s="710"/>
      <c r="G1150" s="605" t="s">
        <v>51</v>
      </c>
      <c r="H1150" s="711">
        <v>1</v>
      </c>
      <c r="I1150" s="491">
        <f>'UPH-TNG'!I56</f>
        <v>250000</v>
      </c>
      <c r="J1150" s="491">
        <f>ROUND(H1150*I1150,2)</f>
        <v>250000</v>
      </c>
      <c r="K1150" s="492"/>
      <c r="L1150" s="501">
        <v>0.79720000000000002</v>
      </c>
      <c r="M1150" s="494" t="s">
        <v>429</v>
      </c>
      <c r="N1150" s="491">
        <f t="shared" ref="N1150:N1160" si="74">L1150*J1150</f>
        <v>199300</v>
      </c>
      <c r="Q1150" s="595"/>
      <c r="R1150" s="484"/>
      <c r="S1150" s="595"/>
      <c r="T1150" s="595"/>
      <c r="U1150" s="595"/>
    </row>
    <row r="1151" spans="2:21" s="485" customFormat="1" ht="14.1" customHeight="1">
      <c r="B1151" s="951"/>
      <c r="C1151" s="598"/>
      <c r="D1151" s="607"/>
      <c r="E1151" s="710" t="s">
        <v>75</v>
      </c>
      <c r="F1151" s="710"/>
      <c r="G1151" s="605" t="s">
        <v>73</v>
      </c>
      <c r="H1151" s="711">
        <v>6</v>
      </c>
      <c r="I1151" s="491">
        <f>'UPH-TNG'!$I$104</f>
        <v>1425</v>
      </c>
      <c r="J1151" s="491">
        <f>ROUND(H1151*I1151,2)</f>
        <v>8550</v>
      </c>
      <c r="K1151" s="496"/>
      <c r="L1151" s="501">
        <f>$L$163</f>
        <v>0.90890000000000004</v>
      </c>
      <c r="M1151" s="494" t="s">
        <v>429</v>
      </c>
      <c r="N1151" s="491">
        <f t="shared" si="74"/>
        <v>7771.0950000000003</v>
      </c>
      <c r="Q1151" s="595"/>
      <c r="R1151" s="484"/>
      <c r="S1151" s="595"/>
      <c r="T1151" s="595"/>
      <c r="U1151" s="595"/>
    </row>
    <row r="1152" spans="2:21" s="485" customFormat="1" ht="14.1" customHeight="1">
      <c r="B1152" s="951"/>
      <c r="C1152" s="607"/>
      <c r="D1152" s="607"/>
      <c r="E1152" s="710" t="s">
        <v>132</v>
      </c>
      <c r="F1152" s="710"/>
      <c r="G1152" s="605" t="s">
        <v>68</v>
      </c>
      <c r="H1152" s="711">
        <v>0.01</v>
      </c>
      <c r="I1152" s="491">
        <f>'UPH-TNG'!$I$107</f>
        <v>280000</v>
      </c>
      <c r="J1152" s="491">
        <f>ROUND(H1152*I1152,2)</f>
        <v>2800</v>
      </c>
      <c r="K1152" s="511"/>
      <c r="L1152" s="501">
        <v>1</v>
      </c>
      <c r="M1152" s="494"/>
      <c r="N1152" s="491">
        <f t="shared" si="74"/>
        <v>2800</v>
      </c>
      <c r="Q1152" s="595"/>
      <c r="R1152" s="484"/>
      <c r="S1152" s="595"/>
      <c r="T1152" s="595"/>
      <c r="U1152" s="595"/>
    </row>
    <row r="1153" spans="2:21" s="485" customFormat="1" ht="14.1" customHeight="1">
      <c r="B1153" s="951"/>
      <c r="C1153" s="600"/>
      <c r="D1153" s="607"/>
      <c r="E1153" s="712"/>
      <c r="F1153" s="713"/>
      <c r="G1153" s="610"/>
      <c r="H1153" s="714"/>
      <c r="I1153" s="504"/>
      <c r="J1153" s="495"/>
      <c r="K1153" s="491">
        <f>SUM(J1150:J1152)</f>
        <v>261350</v>
      </c>
      <c r="L1153" s="501"/>
      <c r="M1153" s="494"/>
      <c r="N1153" s="491">
        <f t="shared" si="74"/>
        <v>0</v>
      </c>
      <c r="Q1153" s="595"/>
      <c r="R1153" s="484"/>
      <c r="S1153" s="595"/>
      <c r="T1153" s="595"/>
      <c r="U1153" s="595"/>
    </row>
    <row r="1154" spans="2:21" s="485" customFormat="1" ht="14.1" customHeight="1">
      <c r="B1154" s="951"/>
      <c r="C1154" s="596" t="s">
        <v>214</v>
      </c>
      <c r="D1154" s="603" t="s">
        <v>63</v>
      </c>
      <c r="E1154" s="710" t="s">
        <v>64</v>
      </c>
      <c r="F1154" s="710"/>
      <c r="G1154" s="605" t="s">
        <v>66</v>
      </c>
      <c r="H1154" s="711">
        <v>1</v>
      </c>
      <c r="I1154" s="491">
        <f>'UPH-TNG'!$I$15</f>
        <v>92000</v>
      </c>
      <c r="J1154" s="491">
        <f>ROUND(H1154*I1154,2)</f>
        <v>92000</v>
      </c>
      <c r="K1154" s="492"/>
      <c r="L1154" s="493">
        <v>1</v>
      </c>
      <c r="M1154" s="493" t="s">
        <v>422</v>
      </c>
      <c r="N1154" s="491">
        <f t="shared" si="74"/>
        <v>92000</v>
      </c>
      <c r="Q1154" s="595"/>
      <c r="R1154" s="484"/>
      <c r="S1154" s="595"/>
      <c r="T1154" s="595"/>
      <c r="U1154" s="595"/>
    </row>
    <row r="1155" spans="2:21" s="485" customFormat="1" ht="14.1" customHeight="1">
      <c r="B1155" s="951"/>
      <c r="C1155" s="598"/>
      <c r="D1155" s="607"/>
      <c r="E1155" s="710" t="s">
        <v>125</v>
      </c>
      <c r="F1155" s="710"/>
      <c r="G1155" s="605" t="s">
        <v>66</v>
      </c>
      <c r="H1155" s="711">
        <v>1.5</v>
      </c>
      <c r="I1155" s="491">
        <f>'UPH-TNG'!$I$21</f>
        <v>95000</v>
      </c>
      <c r="J1155" s="491">
        <f>ROUND(H1155*I1155,2)</f>
        <v>142500</v>
      </c>
      <c r="K1155" s="496"/>
      <c r="L1155" s="493">
        <v>1</v>
      </c>
      <c r="M1155" s="493" t="s">
        <v>422</v>
      </c>
      <c r="N1155" s="491">
        <f t="shared" si="74"/>
        <v>142500</v>
      </c>
      <c r="Q1155" s="595"/>
      <c r="R1155" s="484"/>
      <c r="S1155" s="595"/>
      <c r="T1155" s="595"/>
      <c r="U1155" s="595"/>
    </row>
    <row r="1156" spans="2:21" s="485" customFormat="1" ht="14.1" customHeight="1">
      <c r="B1156" s="951"/>
      <c r="C1156" s="598"/>
      <c r="D1156" s="607"/>
      <c r="E1156" s="710" t="s">
        <v>238</v>
      </c>
      <c r="F1156" s="710"/>
      <c r="G1156" s="605" t="s">
        <v>66</v>
      </c>
      <c r="H1156" s="711">
        <v>0.15</v>
      </c>
      <c r="I1156" s="491">
        <f>'UPH-TNG'!$I$16</f>
        <v>104000</v>
      </c>
      <c r="J1156" s="491">
        <f>ROUND(H1156*I1156,2)</f>
        <v>15600</v>
      </c>
      <c r="K1156" s="496"/>
      <c r="L1156" s="493">
        <v>1</v>
      </c>
      <c r="M1156" s="493" t="s">
        <v>422</v>
      </c>
      <c r="N1156" s="491">
        <f t="shared" si="74"/>
        <v>15600</v>
      </c>
      <c r="Q1156" s="595"/>
      <c r="R1156" s="484"/>
      <c r="S1156" s="595"/>
      <c r="T1156" s="595"/>
      <c r="U1156" s="595"/>
    </row>
    <row r="1157" spans="2:21" s="485" customFormat="1" ht="14.1" customHeight="1">
      <c r="B1157" s="951"/>
      <c r="C1157" s="607"/>
      <c r="D1157" s="607"/>
      <c r="E1157" s="710" t="s">
        <v>65</v>
      </c>
      <c r="F1157" s="710"/>
      <c r="G1157" s="605" t="s">
        <v>66</v>
      </c>
      <c r="H1157" s="711">
        <v>0.16</v>
      </c>
      <c r="I1157" s="491">
        <f>'UPH-TNG'!$I$20</f>
        <v>98000</v>
      </c>
      <c r="J1157" s="491">
        <f>ROUND(H1157*I1157,2)</f>
        <v>15680</v>
      </c>
      <c r="K1157" s="607"/>
      <c r="L1157" s="493">
        <v>1</v>
      </c>
      <c r="M1157" s="493" t="s">
        <v>422</v>
      </c>
      <c r="N1157" s="491">
        <f t="shared" si="74"/>
        <v>15680</v>
      </c>
      <c r="Q1157" s="595"/>
      <c r="R1157" s="484"/>
      <c r="S1157" s="595"/>
      <c r="T1157" s="595"/>
      <c r="U1157" s="595"/>
    </row>
    <row r="1158" spans="2:21" s="485" customFormat="1" ht="14.1" customHeight="1">
      <c r="B1158" s="951"/>
      <c r="C1158" s="600"/>
      <c r="D1158" s="602"/>
      <c r="E1158" s="612"/>
      <c r="F1158" s="613"/>
      <c r="G1158" s="610"/>
      <c r="H1158" s="614"/>
      <c r="I1158" s="504"/>
      <c r="J1158" s="495"/>
      <c r="K1158" s="494">
        <f>SUM(J1154:J1157)</f>
        <v>265780</v>
      </c>
      <c r="L1158" s="501"/>
      <c r="M1158" s="494"/>
      <c r="N1158" s="491">
        <f t="shared" si="74"/>
        <v>0</v>
      </c>
      <c r="Q1158" s="595"/>
      <c r="R1158" s="484"/>
      <c r="S1158" s="595"/>
      <c r="T1158" s="595"/>
      <c r="U1158" s="595"/>
    </row>
    <row r="1159" spans="2:21" s="485" customFormat="1" ht="14.1" customHeight="1">
      <c r="B1159" s="951"/>
      <c r="C1159" s="596" t="s">
        <v>215</v>
      </c>
      <c r="D1159" s="603" t="s">
        <v>212</v>
      </c>
      <c r="E1159" s="615"/>
      <c r="F1159" s="615"/>
      <c r="G1159" s="605"/>
      <c r="H1159" s="616"/>
      <c r="I1159" s="617"/>
      <c r="J1159" s="491"/>
      <c r="K1159" s="492"/>
      <c r="L1159" s="501"/>
      <c r="M1159" s="494"/>
      <c r="N1159" s="491">
        <f t="shared" si="74"/>
        <v>0</v>
      </c>
      <c r="Q1159" s="595"/>
      <c r="R1159" s="484"/>
      <c r="S1159" s="595"/>
      <c r="T1159" s="595"/>
      <c r="U1159" s="595"/>
    </row>
    <row r="1160" spans="2:21" s="485" customFormat="1" ht="14.1" customHeight="1">
      <c r="B1160" s="951"/>
      <c r="C1160" s="600"/>
      <c r="D1160" s="602"/>
      <c r="E1160" s="612"/>
      <c r="F1160" s="613"/>
      <c r="G1160" s="610"/>
      <c r="H1160" s="614"/>
      <c r="I1160" s="618"/>
      <c r="J1160" s="495"/>
      <c r="K1160" s="494">
        <f>SUM(J1159:J1159)</f>
        <v>0</v>
      </c>
      <c r="L1160" s="501"/>
      <c r="M1160" s="494"/>
      <c r="N1160" s="491">
        <f t="shared" si="74"/>
        <v>0</v>
      </c>
      <c r="Q1160" s="595"/>
      <c r="R1160" s="484"/>
      <c r="S1160" s="595"/>
      <c r="T1160" s="595"/>
      <c r="U1160" s="595"/>
    </row>
    <row r="1161" spans="2:21" s="485" customFormat="1" ht="14.1" customHeight="1">
      <c r="B1161" s="951"/>
      <c r="C1161" s="605" t="s">
        <v>216</v>
      </c>
      <c r="D1161" s="619" t="s">
        <v>219</v>
      </c>
      <c r="E1161" s="613"/>
      <c r="F1161" s="613"/>
      <c r="G1161" s="610"/>
      <c r="H1161" s="614"/>
      <c r="I1161" s="618"/>
      <c r="J1161" s="497" t="s">
        <v>220</v>
      </c>
      <c r="K1161" s="494">
        <f>K1153+K1158+K1160</f>
        <v>527130</v>
      </c>
      <c r="L1161" s="649">
        <f>N1161/K1161</f>
        <v>0.90234115872744858</v>
      </c>
      <c r="M1161" s="497"/>
      <c r="N1161" s="498">
        <f>SUM(N1150:N1160)</f>
        <v>475651.09499999997</v>
      </c>
      <c r="Q1161" s="595"/>
      <c r="R1161" s="484"/>
      <c r="S1161" s="595"/>
      <c r="T1161" s="595"/>
      <c r="U1161" s="595"/>
    </row>
    <row r="1162" spans="2:21" s="485" customFormat="1" ht="14.1" customHeight="1">
      <c r="B1162" s="951"/>
      <c r="C1162" s="605" t="s">
        <v>217</v>
      </c>
      <c r="D1162" s="619" t="s">
        <v>221</v>
      </c>
      <c r="E1162" s="613"/>
      <c r="F1162" s="499">
        <f>$F$48</f>
        <v>0.1</v>
      </c>
      <c r="G1162" s="605" t="s">
        <v>168</v>
      </c>
      <c r="H1162" s="499">
        <f>$H$48</f>
        <v>0.02</v>
      </c>
      <c r="I1162" s="621" t="s">
        <v>167</v>
      </c>
      <c r="J1162" s="494" t="s">
        <v>216</v>
      </c>
      <c r="K1162" s="500">
        <f>ROUND((K1161*(F1162+H1162)),2)</f>
        <v>63255.6</v>
      </c>
      <c r="L1162" s="494"/>
      <c r="M1162" s="494"/>
      <c r="N1162" s="494"/>
      <c r="Q1162" s="595"/>
      <c r="R1162" s="484"/>
      <c r="S1162" s="595"/>
      <c r="T1162" s="595"/>
      <c r="U1162" s="595"/>
    </row>
    <row r="1163" spans="2:21" s="485" customFormat="1" ht="14.1" customHeight="1">
      <c r="B1163" s="951"/>
      <c r="C1163" s="622" t="s">
        <v>222</v>
      </c>
      <c r="D1163" s="623" t="s">
        <v>76</v>
      </c>
      <c r="E1163" s="624"/>
      <c r="F1163" s="624"/>
      <c r="G1163" s="624"/>
      <c r="H1163" s="625"/>
      <c r="I1163" s="624"/>
      <c r="J1163" s="626" t="s">
        <v>226</v>
      </c>
      <c r="K1163" s="627">
        <f>SUM(K1161:K1162)</f>
        <v>590385.6</v>
      </c>
      <c r="L1163" s="620"/>
      <c r="M1163" s="626"/>
      <c r="N1163" s="635"/>
      <c r="Q1163" s="595"/>
      <c r="R1163" s="484"/>
      <c r="S1163" s="595"/>
      <c r="T1163" s="595"/>
      <c r="U1163" s="595"/>
    </row>
    <row r="1164" spans="2:21" s="485" customFormat="1" ht="14.1" customHeight="1">
      <c r="B1164" s="948"/>
      <c r="H1164" s="488"/>
      <c r="Q1164" s="595"/>
      <c r="R1164" s="484"/>
      <c r="S1164" s="595"/>
      <c r="T1164" s="595"/>
      <c r="U1164" s="595"/>
    </row>
    <row r="1165" spans="2:21" s="485" customFormat="1" ht="14.1" hidden="1" customHeight="1">
      <c r="B1165" s="951">
        <f>B1145+1</f>
        <v>59</v>
      </c>
      <c r="C1165" s="488"/>
      <c r="D1165" s="709" t="s">
        <v>375</v>
      </c>
      <c r="H1165" s="488"/>
      <c r="K1165" s="591" t="s">
        <v>258</v>
      </c>
      <c r="L1165" s="591"/>
      <c r="M1165" s="591"/>
      <c r="N1165" s="591"/>
      <c r="O1165" s="485" t="str">
        <f>D1166</f>
        <v>bh</v>
      </c>
      <c r="P1165" s="636">
        <f>K1185</f>
        <v>900376.96</v>
      </c>
      <c r="Q1165" s="593">
        <f>L1183</f>
        <v>0.76619325221293977</v>
      </c>
      <c r="R1165" s="484">
        <f>N1183</f>
        <v>615948.88500000001</v>
      </c>
      <c r="S1165" s="594"/>
      <c r="T1165" s="484"/>
      <c r="U1165" s="593"/>
    </row>
    <row r="1166" spans="2:21" s="485" customFormat="1" ht="14.1" hidden="1" customHeight="1">
      <c r="B1166" s="951"/>
      <c r="C1166" s="488"/>
      <c r="D1166" s="485" t="s">
        <v>45</v>
      </c>
      <c r="H1166" s="488"/>
      <c r="Q1166" s="595"/>
      <c r="R1166" s="484"/>
      <c r="S1166" s="595"/>
      <c r="T1166" s="595"/>
      <c r="U1166" s="595"/>
    </row>
    <row r="1167" spans="2:21" s="485" customFormat="1" ht="14.1" hidden="1" customHeight="1">
      <c r="B1167" s="951"/>
      <c r="C1167" s="596"/>
      <c r="D1167" s="977" t="s">
        <v>55</v>
      </c>
      <c r="E1167" s="978"/>
      <c r="F1167" s="597"/>
      <c r="G1167" s="981" t="s">
        <v>56</v>
      </c>
      <c r="H1167" s="981" t="s">
        <v>57</v>
      </c>
      <c r="I1167" s="596" t="s">
        <v>58</v>
      </c>
      <c r="J1167" s="596" t="s">
        <v>59</v>
      </c>
      <c r="K1167" s="596" t="s">
        <v>102</v>
      </c>
      <c r="L1167" s="596" t="s">
        <v>418</v>
      </c>
      <c r="M1167" s="596" t="s">
        <v>419</v>
      </c>
      <c r="N1167" s="596" t="s">
        <v>59</v>
      </c>
      <c r="Q1167" s="595"/>
      <c r="R1167" s="484"/>
      <c r="S1167" s="595"/>
      <c r="T1167" s="595"/>
      <c r="U1167" s="595"/>
    </row>
    <row r="1168" spans="2:21" s="485" customFormat="1" ht="14.1" hidden="1" customHeight="1">
      <c r="B1168" s="951"/>
      <c r="C1168" s="598" t="s">
        <v>227</v>
      </c>
      <c r="D1168" s="979"/>
      <c r="E1168" s="980"/>
      <c r="F1168" s="599"/>
      <c r="G1168" s="982"/>
      <c r="H1168" s="982"/>
      <c r="I1168" s="598" t="s">
        <v>60</v>
      </c>
      <c r="J1168" s="598" t="s">
        <v>61</v>
      </c>
      <c r="K1168" s="598" t="s">
        <v>61</v>
      </c>
      <c r="L1168" s="598" t="s">
        <v>421</v>
      </c>
      <c r="M1168" s="598"/>
      <c r="N1168" s="598" t="s">
        <v>423</v>
      </c>
      <c r="Q1168" s="595"/>
      <c r="R1168" s="484"/>
      <c r="S1168" s="595"/>
      <c r="T1168" s="595"/>
      <c r="U1168" s="595"/>
    </row>
    <row r="1169" spans="2:21" s="485" customFormat="1" ht="14.1" hidden="1" customHeight="1">
      <c r="B1169" s="951"/>
      <c r="C1169" s="600"/>
      <c r="D1169" s="969"/>
      <c r="E1169" s="970"/>
      <c r="F1169" s="601"/>
      <c r="G1169" s="973"/>
      <c r="H1169" s="973"/>
      <c r="I1169" s="600" t="s">
        <v>61</v>
      </c>
      <c r="J1169" s="602"/>
      <c r="K1169" s="602"/>
      <c r="L1169" s="602"/>
      <c r="M1169" s="602"/>
      <c r="N1169" s="600" t="s">
        <v>61</v>
      </c>
      <c r="Q1169" s="595"/>
      <c r="R1169" s="484"/>
      <c r="S1169" s="595"/>
      <c r="T1169" s="595"/>
      <c r="U1169" s="595"/>
    </row>
    <row r="1170" spans="2:21" s="485" customFormat="1" ht="14.1" hidden="1" customHeight="1">
      <c r="B1170" s="951"/>
      <c r="C1170" s="596" t="s">
        <v>213</v>
      </c>
      <c r="D1170" s="603" t="s">
        <v>62</v>
      </c>
      <c r="E1170" s="710" t="s">
        <v>506</v>
      </c>
      <c r="F1170" s="710"/>
      <c r="G1170" s="605" t="s">
        <v>51</v>
      </c>
      <c r="H1170" s="711">
        <v>1</v>
      </c>
      <c r="I1170" s="491">
        <f>'UPH-TNG'!$I$141</f>
        <v>466900</v>
      </c>
      <c r="J1170" s="491">
        <f>ROUND(H1170*I1170,2)</f>
        <v>466900</v>
      </c>
      <c r="K1170" s="492"/>
      <c r="L1170" s="501">
        <v>0.62909999999999999</v>
      </c>
      <c r="M1170" s="494" t="s">
        <v>429</v>
      </c>
      <c r="N1170" s="491">
        <f t="shared" ref="N1170:N1182" si="75">L1170*J1170</f>
        <v>293726.78999999998</v>
      </c>
      <c r="Q1170" s="595"/>
      <c r="R1170" s="484"/>
      <c r="S1170" s="595"/>
      <c r="T1170" s="595"/>
      <c r="U1170" s="595"/>
    </row>
    <row r="1171" spans="2:21" s="485" customFormat="1" ht="14.1" hidden="1" customHeight="1">
      <c r="B1171" s="951"/>
      <c r="C1171" s="598"/>
      <c r="D1171" s="607"/>
      <c r="E1171" s="710" t="s">
        <v>130</v>
      </c>
      <c r="F1171" s="710"/>
      <c r="G1171" s="605" t="s">
        <v>45</v>
      </c>
      <c r="H1171" s="711">
        <v>1</v>
      </c>
      <c r="I1171" s="491">
        <f>I1170*0.12</f>
        <v>56028</v>
      </c>
      <c r="J1171" s="491">
        <f>ROUND(H1171*I1171,2)</f>
        <v>56028</v>
      </c>
      <c r="K1171" s="496"/>
      <c r="L1171" s="501">
        <v>0.75</v>
      </c>
      <c r="M1171" s="494" t="s">
        <v>430</v>
      </c>
      <c r="N1171" s="491">
        <f t="shared" si="75"/>
        <v>42021</v>
      </c>
      <c r="Q1171" s="595"/>
      <c r="R1171" s="484"/>
      <c r="S1171" s="595"/>
      <c r="T1171" s="595"/>
      <c r="U1171" s="595"/>
    </row>
    <row r="1172" spans="2:21" s="485" customFormat="1" ht="14.1" hidden="1" customHeight="1">
      <c r="B1172" s="951"/>
      <c r="C1172" s="598"/>
      <c r="D1172" s="607"/>
      <c r="E1172" s="710" t="s">
        <v>157</v>
      </c>
      <c r="F1172" s="710"/>
      <c r="G1172" s="605"/>
      <c r="H1172" s="711"/>
      <c r="I1172" s="491"/>
      <c r="J1172" s="491"/>
      <c r="K1172" s="496"/>
      <c r="L1172" s="501"/>
      <c r="M1172" s="494"/>
      <c r="N1172" s="491">
        <f t="shared" si="75"/>
        <v>0</v>
      </c>
      <c r="Q1172" s="595"/>
      <c r="R1172" s="484"/>
      <c r="S1172" s="595"/>
      <c r="T1172" s="595"/>
      <c r="U1172" s="595"/>
    </row>
    <row r="1173" spans="2:21" s="485" customFormat="1" ht="14.1" hidden="1" customHeight="1">
      <c r="B1173" s="951"/>
      <c r="C1173" s="598"/>
      <c r="D1173" s="607"/>
      <c r="E1173" s="710" t="s">
        <v>75</v>
      </c>
      <c r="F1173" s="710"/>
      <c r="G1173" s="605" t="s">
        <v>73</v>
      </c>
      <c r="H1173" s="711">
        <v>6</v>
      </c>
      <c r="I1173" s="491">
        <f>'UPH-TNG'!$I$104</f>
        <v>1425</v>
      </c>
      <c r="J1173" s="491">
        <f>ROUND(H1173*I1173,2)</f>
        <v>8550</v>
      </c>
      <c r="K1173" s="496"/>
      <c r="L1173" s="501">
        <f>$L$163</f>
        <v>0.90890000000000004</v>
      </c>
      <c r="M1173" s="494" t="s">
        <v>429</v>
      </c>
      <c r="N1173" s="491">
        <f t="shared" si="75"/>
        <v>7771.0950000000003</v>
      </c>
      <c r="Q1173" s="595"/>
      <c r="R1173" s="484"/>
      <c r="S1173" s="595"/>
      <c r="T1173" s="595"/>
      <c r="U1173" s="595"/>
    </row>
    <row r="1174" spans="2:21" s="485" customFormat="1" ht="14.1" hidden="1" customHeight="1">
      <c r="B1174" s="951"/>
      <c r="C1174" s="598"/>
      <c r="D1174" s="607"/>
      <c r="E1174" s="710" t="s">
        <v>132</v>
      </c>
      <c r="F1174" s="710"/>
      <c r="G1174" s="605" t="s">
        <v>68</v>
      </c>
      <c r="H1174" s="711">
        <v>0.01</v>
      </c>
      <c r="I1174" s="491">
        <f>'UPH-TNG'!$I$107</f>
        <v>280000</v>
      </c>
      <c r="J1174" s="491">
        <f>ROUND(H1174*I1174,2)</f>
        <v>2800</v>
      </c>
      <c r="K1174" s="511"/>
      <c r="L1174" s="501">
        <v>1</v>
      </c>
      <c r="M1174" s="494"/>
      <c r="N1174" s="491">
        <f t="shared" si="75"/>
        <v>2800</v>
      </c>
      <c r="Q1174" s="595"/>
      <c r="R1174" s="484"/>
      <c r="S1174" s="595"/>
      <c r="T1174" s="595"/>
      <c r="U1174" s="595"/>
    </row>
    <row r="1175" spans="2:21" s="485" customFormat="1" ht="14.1" hidden="1" customHeight="1">
      <c r="B1175" s="951"/>
      <c r="C1175" s="600"/>
      <c r="D1175" s="607"/>
      <c r="E1175" s="712"/>
      <c r="F1175" s="713"/>
      <c r="G1175" s="610"/>
      <c r="H1175" s="714"/>
      <c r="I1175" s="504"/>
      <c r="J1175" s="495"/>
      <c r="K1175" s="491">
        <f>SUM(J1170:J1174)</f>
        <v>534278</v>
      </c>
      <c r="L1175" s="501"/>
      <c r="M1175" s="494"/>
      <c r="N1175" s="491">
        <f t="shared" si="75"/>
        <v>0</v>
      </c>
      <c r="Q1175" s="595"/>
      <c r="R1175" s="484"/>
      <c r="S1175" s="595"/>
      <c r="T1175" s="595"/>
      <c r="U1175" s="595"/>
    </row>
    <row r="1176" spans="2:21" s="485" customFormat="1" ht="14.1" hidden="1" customHeight="1">
      <c r="B1176" s="951"/>
      <c r="C1176" s="596" t="s">
        <v>214</v>
      </c>
      <c r="D1176" s="603" t="s">
        <v>63</v>
      </c>
      <c r="E1176" s="710" t="s">
        <v>64</v>
      </c>
      <c r="F1176" s="710"/>
      <c r="G1176" s="605" t="s">
        <v>66</v>
      </c>
      <c r="H1176" s="711">
        <v>1.2</v>
      </c>
      <c r="I1176" s="491">
        <f>'UPH-TNG'!$I$15</f>
        <v>92000</v>
      </c>
      <c r="J1176" s="491">
        <f>ROUND(H1176*I1176,2)</f>
        <v>110400</v>
      </c>
      <c r="K1176" s="492"/>
      <c r="L1176" s="493">
        <v>1</v>
      </c>
      <c r="M1176" s="493" t="s">
        <v>422</v>
      </c>
      <c r="N1176" s="491">
        <f t="shared" si="75"/>
        <v>110400</v>
      </c>
      <c r="Q1176" s="595"/>
      <c r="R1176" s="484"/>
      <c r="S1176" s="595"/>
      <c r="T1176" s="595"/>
      <c r="U1176" s="595"/>
    </row>
    <row r="1177" spans="2:21" s="485" customFormat="1" ht="14.1" hidden="1" customHeight="1">
      <c r="B1177" s="951"/>
      <c r="C1177" s="598"/>
      <c r="D1177" s="607"/>
      <c r="E1177" s="710" t="s">
        <v>125</v>
      </c>
      <c r="F1177" s="710"/>
      <c r="G1177" s="605" t="s">
        <v>66</v>
      </c>
      <c r="H1177" s="711">
        <v>1.45</v>
      </c>
      <c r="I1177" s="491">
        <f>'UPH-TNG'!$I$21</f>
        <v>95000</v>
      </c>
      <c r="J1177" s="491">
        <f>ROUND(H1177*I1177,2)</f>
        <v>137750</v>
      </c>
      <c r="K1177" s="496"/>
      <c r="L1177" s="493">
        <v>1</v>
      </c>
      <c r="M1177" s="493" t="s">
        <v>422</v>
      </c>
      <c r="N1177" s="491">
        <f t="shared" si="75"/>
        <v>137750</v>
      </c>
      <c r="Q1177" s="595"/>
      <c r="R1177" s="484"/>
      <c r="S1177" s="595"/>
      <c r="T1177" s="595"/>
      <c r="U1177" s="595"/>
    </row>
    <row r="1178" spans="2:21" s="485" customFormat="1" ht="14.1" hidden="1" customHeight="1">
      <c r="B1178" s="951"/>
      <c r="C1178" s="598"/>
      <c r="D1178" s="607"/>
      <c r="E1178" s="710" t="s">
        <v>238</v>
      </c>
      <c r="F1178" s="710"/>
      <c r="G1178" s="605" t="s">
        <v>66</v>
      </c>
      <c r="H1178" s="711">
        <v>0.15</v>
      </c>
      <c r="I1178" s="491">
        <f>'UPH-TNG'!$I$16</f>
        <v>104000</v>
      </c>
      <c r="J1178" s="491">
        <f>ROUND(H1178*I1178,2)</f>
        <v>15600</v>
      </c>
      <c r="K1178" s="496"/>
      <c r="L1178" s="493">
        <v>1</v>
      </c>
      <c r="M1178" s="493" t="s">
        <v>422</v>
      </c>
      <c r="N1178" s="491">
        <f t="shared" si="75"/>
        <v>15600</v>
      </c>
      <c r="Q1178" s="595"/>
      <c r="R1178" s="484"/>
      <c r="S1178" s="595"/>
      <c r="T1178" s="595"/>
      <c r="U1178" s="595"/>
    </row>
    <row r="1179" spans="2:21" s="485" customFormat="1" ht="14.1" hidden="1" customHeight="1">
      <c r="B1179" s="951"/>
      <c r="C1179" s="598"/>
      <c r="D1179" s="607"/>
      <c r="E1179" s="710" t="s">
        <v>65</v>
      </c>
      <c r="F1179" s="710"/>
      <c r="G1179" s="605" t="s">
        <v>66</v>
      </c>
      <c r="H1179" s="711">
        <v>0.06</v>
      </c>
      <c r="I1179" s="491">
        <f>'UPH-TNG'!$I$20</f>
        <v>98000</v>
      </c>
      <c r="J1179" s="491">
        <f>ROUND(H1179*I1179,2)</f>
        <v>5880</v>
      </c>
      <c r="K1179" s="607"/>
      <c r="L1179" s="493">
        <v>1</v>
      </c>
      <c r="M1179" s="493" t="s">
        <v>422</v>
      </c>
      <c r="N1179" s="491">
        <f t="shared" si="75"/>
        <v>5880</v>
      </c>
      <c r="Q1179" s="595"/>
      <c r="R1179" s="484"/>
      <c r="S1179" s="595"/>
      <c r="T1179" s="595"/>
      <c r="U1179" s="595"/>
    </row>
    <row r="1180" spans="2:21" s="485" customFormat="1" ht="14.1" hidden="1" customHeight="1">
      <c r="B1180" s="951"/>
      <c r="C1180" s="600"/>
      <c r="D1180" s="602"/>
      <c r="E1180" s="612"/>
      <c r="F1180" s="613"/>
      <c r="G1180" s="610"/>
      <c r="H1180" s="614"/>
      <c r="I1180" s="504"/>
      <c r="J1180" s="495"/>
      <c r="K1180" s="494">
        <f>SUM(J1176:J1179)</f>
        <v>269630</v>
      </c>
      <c r="L1180" s="501"/>
      <c r="M1180" s="494"/>
      <c r="N1180" s="491">
        <f t="shared" si="75"/>
        <v>0</v>
      </c>
      <c r="Q1180" s="595"/>
      <c r="R1180" s="484"/>
      <c r="S1180" s="595"/>
      <c r="T1180" s="595"/>
      <c r="U1180" s="595"/>
    </row>
    <row r="1181" spans="2:21" s="485" customFormat="1" ht="14.1" hidden="1" customHeight="1">
      <c r="B1181" s="951"/>
      <c r="C1181" s="596" t="s">
        <v>215</v>
      </c>
      <c r="D1181" s="603" t="s">
        <v>212</v>
      </c>
      <c r="E1181" s="615"/>
      <c r="F1181" s="615"/>
      <c r="G1181" s="605"/>
      <c r="H1181" s="616"/>
      <c r="I1181" s="617"/>
      <c r="J1181" s="491"/>
      <c r="K1181" s="492"/>
      <c r="L1181" s="501"/>
      <c r="M1181" s="494"/>
      <c r="N1181" s="491">
        <f t="shared" si="75"/>
        <v>0</v>
      </c>
      <c r="Q1181" s="595"/>
      <c r="R1181" s="484"/>
      <c r="S1181" s="595"/>
      <c r="T1181" s="595"/>
      <c r="U1181" s="595"/>
    </row>
    <row r="1182" spans="2:21" s="485" customFormat="1" ht="14.1" hidden="1" customHeight="1">
      <c r="B1182" s="951"/>
      <c r="C1182" s="600"/>
      <c r="D1182" s="602"/>
      <c r="E1182" s="612"/>
      <c r="F1182" s="613"/>
      <c r="G1182" s="610"/>
      <c r="H1182" s="614"/>
      <c r="I1182" s="618"/>
      <c r="J1182" s="495"/>
      <c r="K1182" s="494">
        <f>SUM(J1181:J1181)</f>
        <v>0</v>
      </c>
      <c r="L1182" s="501"/>
      <c r="M1182" s="494"/>
      <c r="N1182" s="491">
        <f t="shared" si="75"/>
        <v>0</v>
      </c>
      <c r="Q1182" s="595"/>
      <c r="R1182" s="484"/>
      <c r="S1182" s="595"/>
      <c r="T1182" s="595"/>
      <c r="U1182" s="595"/>
    </row>
    <row r="1183" spans="2:21" s="485" customFormat="1" ht="14.1" hidden="1" customHeight="1">
      <c r="B1183" s="951"/>
      <c r="C1183" s="605" t="s">
        <v>216</v>
      </c>
      <c r="D1183" s="619" t="s">
        <v>219</v>
      </c>
      <c r="E1183" s="613"/>
      <c r="F1183" s="613"/>
      <c r="G1183" s="610"/>
      <c r="H1183" s="614"/>
      <c r="I1183" s="618"/>
      <c r="J1183" s="497" t="s">
        <v>220</v>
      </c>
      <c r="K1183" s="494">
        <f>K1175+K1180+K1182</f>
        <v>803908</v>
      </c>
      <c r="L1183" s="649">
        <f>N1183/K1183</f>
        <v>0.76619325221293977</v>
      </c>
      <c r="M1183" s="497"/>
      <c r="N1183" s="498">
        <f>SUM(N1169:N1182)</f>
        <v>615948.88500000001</v>
      </c>
      <c r="Q1183" s="595"/>
      <c r="R1183" s="484"/>
      <c r="S1183" s="595"/>
      <c r="T1183" s="595"/>
      <c r="U1183" s="595"/>
    </row>
    <row r="1184" spans="2:21" s="485" customFormat="1" ht="14.1" hidden="1" customHeight="1">
      <c r="B1184" s="951"/>
      <c r="C1184" s="605" t="s">
        <v>217</v>
      </c>
      <c r="D1184" s="619" t="s">
        <v>221</v>
      </c>
      <c r="E1184" s="613"/>
      <c r="F1184" s="499">
        <f>$F$48</f>
        <v>0.1</v>
      </c>
      <c r="G1184" s="605" t="s">
        <v>168</v>
      </c>
      <c r="H1184" s="499">
        <f>$H$48</f>
        <v>0.02</v>
      </c>
      <c r="I1184" s="621" t="s">
        <v>167</v>
      </c>
      <c r="J1184" s="494" t="s">
        <v>216</v>
      </c>
      <c r="K1184" s="500">
        <f>ROUND((K1183*(F1184+H1184)),2)</f>
        <v>96468.96</v>
      </c>
      <c r="L1184" s="494"/>
      <c r="M1184" s="494"/>
      <c r="N1184" s="494"/>
      <c r="Q1184" s="595"/>
      <c r="R1184" s="484"/>
      <c r="S1184" s="595"/>
      <c r="T1184" s="595"/>
      <c r="U1184" s="595"/>
    </row>
    <row r="1185" spans="2:21" s="485" customFormat="1" ht="14.1" hidden="1" customHeight="1">
      <c r="B1185" s="951"/>
      <c r="C1185" s="622" t="s">
        <v>222</v>
      </c>
      <c r="D1185" s="623" t="s">
        <v>76</v>
      </c>
      <c r="E1185" s="624"/>
      <c r="F1185" s="624"/>
      <c r="G1185" s="624"/>
      <c r="H1185" s="625"/>
      <c r="I1185" s="624"/>
      <c r="J1185" s="626" t="s">
        <v>226</v>
      </c>
      <c r="K1185" s="627">
        <f>SUM(K1183:K1184)</f>
        <v>900376.96</v>
      </c>
      <c r="L1185" s="620"/>
      <c r="M1185" s="626"/>
      <c r="N1185" s="635"/>
      <c r="Q1185" s="595"/>
      <c r="R1185" s="484"/>
      <c r="S1185" s="595"/>
      <c r="T1185" s="595"/>
      <c r="U1185" s="595"/>
    </row>
    <row r="1186" spans="2:21" hidden="1">
      <c r="Q1186" s="595"/>
      <c r="R1186" s="484"/>
      <c r="S1186" s="595"/>
      <c r="T1186" s="595"/>
      <c r="U1186" s="595"/>
    </row>
    <row r="1187" spans="2:21" s="485" customFormat="1" ht="14.1" customHeight="1">
      <c r="B1187" s="951">
        <f>B1165+1</f>
        <v>60</v>
      </c>
      <c r="C1187" s="488"/>
      <c r="D1187" s="709" t="s">
        <v>607</v>
      </c>
      <c r="H1187" s="488"/>
      <c r="K1187" s="591" t="s">
        <v>260</v>
      </c>
      <c r="L1187" s="591"/>
      <c r="M1187" s="591"/>
      <c r="N1187" s="591"/>
      <c r="O1187" s="485" t="str">
        <f>D1188</f>
        <v>bh</v>
      </c>
      <c r="P1187" s="636">
        <f>K1203</f>
        <v>119784</v>
      </c>
      <c r="Q1187" s="593">
        <f>L1201</f>
        <v>0.11173445535296868</v>
      </c>
      <c r="R1187" s="484">
        <f>N1201</f>
        <v>11950</v>
      </c>
      <c r="S1187" s="594"/>
      <c r="T1187" s="484"/>
      <c r="U1187" s="593"/>
    </row>
    <row r="1188" spans="2:21" s="485" customFormat="1" ht="14.1" customHeight="1">
      <c r="B1188" s="951"/>
      <c r="C1188" s="488"/>
      <c r="D1188" s="485" t="s">
        <v>45</v>
      </c>
      <c r="H1188" s="488"/>
      <c r="Q1188" s="595"/>
      <c r="R1188" s="484"/>
      <c r="S1188" s="595"/>
      <c r="T1188" s="595"/>
      <c r="U1188" s="595"/>
    </row>
    <row r="1189" spans="2:21" s="485" customFormat="1" ht="14.1" customHeight="1">
      <c r="B1189" s="951"/>
      <c r="C1189" s="596"/>
      <c r="D1189" s="977" t="s">
        <v>55</v>
      </c>
      <c r="E1189" s="978"/>
      <c r="F1189" s="597"/>
      <c r="G1189" s="981" t="s">
        <v>56</v>
      </c>
      <c r="H1189" s="981" t="s">
        <v>57</v>
      </c>
      <c r="I1189" s="596" t="s">
        <v>58</v>
      </c>
      <c r="J1189" s="596" t="s">
        <v>59</v>
      </c>
      <c r="K1189" s="596" t="s">
        <v>102</v>
      </c>
      <c r="L1189" s="596" t="s">
        <v>418</v>
      </c>
      <c r="M1189" s="596" t="s">
        <v>419</v>
      </c>
      <c r="N1189" s="596" t="s">
        <v>59</v>
      </c>
      <c r="Q1189" s="595"/>
      <c r="R1189" s="484"/>
      <c r="S1189" s="595"/>
      <c r="T1189" s="595"/>
      <c r="U1189" s="595"/>
    </row>
    <row r="1190" spans="2:21" s="485" customFormat="1" ht="14.1" customHeight="1">
      <c r="B1190" s="951"/>
      <c r="C1190" s="598" t="s">
        <v>227</v>
      </c>
      <c r="D1190" s="979"/>
      <c r="E1190" s="980"/>
      <c r="F1190" s="599"/>
      <c r="G1190" s="982"/>
      <c r="H1190" s="982"/>
      <c r="I1190" s="598" t="s">
        <v>60</v>
      </c>
      <c r="J1190" s="598" t="s">
        <v>61</v>
      </c>
      <c r="K1190" s="598" t="s">
        <v>61</v>
      </c>
      <c r="L1190" s="598" t="s">
        <v>421</v>
      </c>
      <c r="M1190" s="598"/>
      <c r="N1190" s="598" t="s">
        <v>423</v>
      </c>
      <c r="Q1190" s="595"/>
      <c r="R1190" s="484"/>
      <c r="S1190" s="595"/>
      <c r="T1190" s="595"/>
      <c r="U1190" s="595"/>
    </row>
    <row r="1191" spans="2:21" s="485" customFormat="1" ht="14.1" customHeight="1">
      <c r="B1191" s="951"/>
      <c r="C1191" s="600"/>
      <c r="D1191" s="969"/>
      <c r="E1191" s="970"/>
      <c r="F1191" s="601"/>
      <c r="G1191" s="973"/>
      <c r="H1191" s="973"/>
      <c r="I1191" s="600" t="s">
        <v>61</v>
      </c>
      <c r="J1191" s="602"/>
      <c r="K1191" s="602"/>
      <c r="L1191" s="602"/>
      <c r="M1191" s="602"/>
      <c r="N1191" s="600" t="s">
        <v>61</v>
      </c>
      <c r="Q1191" s="595"/>
      <c r="R1191" s="484"/>
      <c r="S1191" s="595"/>
      <c r="T1191" s="595"/>
      <c r="U1191" s="595"/>
    </row>
    <row r="1192" spans="2:21" s="485" customFormat="1" ht="14.1" customHeight="1">
      <c r="B1192" s="951"/>
      <c r="C1192" s="596" t="s">
        <v>213</v>
      </c>
      <c r="D1192" s="603" t="s">
        <v>62</v>
      </c>
      <c r="E1192" s="715" t="s">
        <v>261</v>
      </c>
      <c r="F1192" s="710"/>
      <c r="G1192" s="605" t="s">
        <v>51</v>
      </c>
      <c r="H1192" s="711">
        <v>1</v>
      </c>
      <c r="I1192" s="491">
        <f>'UPH-TNG'!$I$58</f>
        <v>95000</v>
      </c>
      <c r="J1192" s="491">
        <f>ROUND(H1192*I1192,2)</f>
        <v>95000</v>
      </c>
      <c r="K1192" s="492"/>
      <c r="L1192" s="501">
        <v>0</v>
      </c>
      <c r="M1192" s="494"/>
      <c r="N1192" s="491">
        <f t="shared" ref="N1192:N1200" si="76">L1192*J1192</f>
        <v>0</v>
      </c>
      <c r="Q1192" s="595"/>
      <c r="R1192" s="484"/>
      <c r="S1192" s="595"/>
      <c r="T1192" s="595"/>
      <c r="U1192" s="595"/>
    </row>
    <row r="1193" spans="2:21" s="485" customFormat="1" ht="14.1" customHeight="1">
      <c r="B1193" s="951"/>
      <c r="C1193" s="600"/>
      <c r="D1193" s="607"/>
      <c r="E1193" s="712"/>
      <c r="F1193" s="713"/>
      <c r="G1193" s="610"/>
      <c r="H1193" s="714"/>
      <c r="I1193" s="504"/>
      <c r="J1193" s="495"/>
      <c r="K1193" s="491">
        <f>SUM(J1192:J1192)</f>
        <v>95000</v>
      </c>
      <c r="L1193" s="501"/>
      <c r="M1193" s="494"/>
      <c r="N1193" s="491">
        <f t="shared" si="76"/>
        <v>0</v>
      </c>
      <c r="Q1193" s="595"/>
      <c r="R1193" s="484"/>
      <c r="S1193" s="595"/>
      <c r="T1193" s="595"/>
      <c r="U1193" s="595"/>
    </row>
    <row r="1194" spans="2:21" s="485" customFormat="1" ht="14.1" customHeight="1">
      <c r="B1194" s="951"/>
      <c r="C1194" s="596" t="s">
        <v>214</v>
      </c>
      <c r="D1194" s="603" t="s">
        <v>63</v>
      </c>
      <c r="E1194" s="710" t="s">
        <v>64</v>
      </c>
      <c r="F1194" s="710"/>
      <c r="G1194" s="605" t="s">
        <v>66</v>
      </c>
      <c r="H1194" s="711">
        <v>0.01</v>
      </c>
      <c r="I1194" s="491">
        <f>'UPH-TNG'!$I$15</f>
        <v>92000</v>
      </c>
      <c r="J1194" s="491">
        <f>ROUND(H1194*I1194,2)</f>
        <v>920</v>
      </c>
      <c r="K1194" s="492"/>
      <c r="L1194" s="493">
        <v>1</v>
      </c>
      <c r="M1194" s="493" t="s">
        <v>422</v>
      </c>
      <c r="N1194" s="491">
        <f t="shared" si="76"/>
        <v>920</v>
      </c>
      <c r="Q1194" s="595"/>
      <c r="R1194" s="484"/>
      <c r="S1194" s="595"/>
      <c r="T1194" s="595"/>
      <c r="U1194" s="595"/>
    </row>
    <row r="1195" spans="2:21" s="485" customFormat="1" ht="14.1" customHeight="1">
      <c r="B1195" s="951"/>
      <c r="C1195" s="598"/>
      <c r="D1195" s="607"/>
      <c r="E1195" s="710" t="s">
        <v>125</v>
      </c>
      <c r="F1195" s="710"/>
      <c r="G1195" s="605" t="s">
        <v>66</v>
      </c>
      <c r="H1195" s="711">
        <v>0.1</v>
      </c>
      <c r="I1195" s="491">
        <f>'UPH-TNG'!$I$21</f>
        <v>95000</v>
      </c>
      <c r="J1195" s="491">
        <f>ROUND(H1195*I1195,2)</f>
        <v>9500</v>
      </c>
      <c r="K1195" s="496"/>
      <c r="L1195" s="493">
        <v>1</v>
      </c>
      <c r="M1195" s="493" t="s">
        <v>422</v>
      </c>
      <c r="N1195" s="491">
        <f t="shared" si="76"/>
        <v>9500</v>
      </c>
      <c r="Q1195" s="595"/>
      <c r="R1195" s="484"/>
      <c r="S1195" s="595"/>
      <c r="T1195" s="595"/>
      <c r="U1195" s="595"/>
    </row>
    <row r="1196" spans="2:21" s="485" customFormat="1" ht="14.1" customHeight="1">
      <c r="B1196" s="951"/>
      <c r="C1196" s="598"/>
      <c r="D1196" s="607"/>
      <c r="E1196" s="710" t="s">
        <v>238</v>
      </c>
      <c r="F1196" s="710"/>
      <c r="G1196" s="605" t="s">
        <v>66</v>
      </c>
      <c r="H1196" s="711">
        <v>0.01</v>
      </c>
      <c r="I1196" s="491">
        <f>'UPH-TNG'!$I$16</f>
        <v>104000</v>
      </c>
      <c r="J1196" s="491">
        <f>ROUND(H1196*I1196,2)</f>
        <v>1040</v>
      </c>
      <c r="K1196" s="496"/>
      <c r="L1196" s="493">
        <v>1</v>
      </c>
      <c r="M1196" s="493" t="s">
        <v>422</v>
      </c>
      <c r="N1196" s="491">
        <f t="shared" si="76"/>
        <v>1040</v>
      </c>
      <c r="Q1196" s="595"/>
      <c r="R1196" s="484"/>
      <c r="S1196" s="595"/>
      <c r="T1196" s="595"/>
      <c r="U1196" s="595"/>
    </row>
    <row r="1197" spans="2:21" s="485" customFormat="1" ht="14.1" customHeight="1">
      <c r="B1197" s="951"/>
      <c r="C1197" s="598"/>
      <c r="D1197" s="607"/>
      <c r="E1197" s="710" t="s">
        <v>65</v>
      </c>
      <c r="F1197" s="710"/>
      <c r="G1197" s="605" t="s">
        <v>66</v>
      </c>
      <c r="H1197" s="711">
        <v>5.0000000000000001E-3</v>
      </c>
      <c r="I1197" s="491">
        <f>'UPH-TNG'!$I$20</f>
        <v>98000</v>
      </c>
      <c r="J1197" s="491">
        <f>ROUND(H1197*I1197,2)</f>
        <v>490</v>
      </c>
      <c r="K1197" s="607"/>
      <c r="L1197" s="493">
        <v>1</v>
      </c>
      <c r="M1197" s="493" t="s">
        <v>422</v>
      </c>
      <c r="N1197" s="491">
        <f t="shared" si="76"/>
        <v>490</v>
      </c>
      <c r="Q1197" s="595"/>
      <c r="R1197" s="484"/>
      <c r="S1197" s="595"/>
      <c r="T1197" s="595"/>
      <c r="U1197" s="595"/>
    </row>
    <row r="1198" spans="2:21" s="485" customFormat="1" ht="14.1" customHeight="1">
      <c r="B1198" s="951"/>
      <c r="C1198" s="600"/>
      <c r="D1198" s="602"/>
      <c r="E1198" s="612"/>
      <c r="F1198" s="613"/>
      <c r="G1198" s="610"/>
      <c r="H1198" s="614"/>
      <c r="I1198" s="504"/>
      <c r="J1198" s="495"/>
      <c r="K1198" s="494">
        <f>SUM(J1194:J1197)</f>
        <v>11950</v>
      </c>
      <c r="L1198" s="501"/>
      <c r="M1198" s="494"/>
      <c r="N1198" s="491">
        <f t="shared" si="76"/>
        <v>0</v>
      </c>
      <c r="Q1198" s="595"/>
      <c r="R1198" s="484"/>
      <c r="S1198" s="595"/>
      <c r="T1198" s="595"/>
      <c r="U1198" s="595"/>
    </row>
    <row r="1199" spans="2:21" s="485" customFormat="1" ht="14.1" customHeight="1">
      <c r="B1199" s="951"/>
      <c r="C1199" s="596" t="s">
        <v>215</v>
      </c>
      <c r="D1199" s="603" t="s">
        <v>212</v>
      </c>
      <c r="E1199" s="615"/>
      <c r="F1199" s="615"/>
      <c r="G1199" s="605"/>
      <c r="H1199" s="616"/>
      <c r="I1199" s="617"/>
      <c r="J1199" s="491"/>
      <c r="K1199" s="492"/>
      <c r="L1199" s="501"/>
      <c r="M1199" s="494"/>
      <c r="N1199" s="491">
        <f t="shared" si="76"/>
        <v>0</v>
      </c>
      <c r="Q1199" s="595"/>
      <c r="R1199" s="484"/>
      <c r="S1199" s="595"/>
      <c r="T1199" s="595"/>
      <c r="U1199" s="595"/>
    </row>
    <row r="1200" spans="2:21" s="485" customFormat="1" ht="14.1" customHeight="1">
      <c r="B1200" s="951"/>
      <c r="C1200" s="600"/>
      <c r="D1200" s="602"/>
      <c r="E1200" s="612"/>
      <c r="F1200" s="613"/>
      <c r="G1200" s="610"/>
      <c r="H1200" s="614"/>
      <c r="I1200" s="618"/>
      <c r="J1200" s="495"/>
      <c r="K1200" s="494">
        <f>SUM(J1199:J1199)</f>
        <v>0</v>
      </c>
      <c r="L1200" s="501"/>
      <c r="M1200" s="494"/>
      <c r="N1200" s="491">
        <f t="shared" si="76"/>
        <v>0</v>
      </c>
      <c r="Q1200" s="595"/>
      <c r="R1200" s="484"/>
      <c r="S1200" s="595"/>
      <c r="T1200" s="595"/>
      <c r="U1200" s="595"/>
    </row>
    <row r="1201" spans="2:21" s="485" customFormat="1" ht="14.1" customHeight="1">
      <c r="B1201" s="951"/>
      <c r="C1201" s="605" t="s">
        <v>216</v>
      </c>
      <c r="D1201" s="619" t="s">
        <v>219</v>
      </c>
      <c r="E1201" s="613"/>
      <c r="F1201" s="613"/>
      <c r="G1201" s="610"/>
      <c r="H1201" s="614"/>
      <c r="I1201" s="618"/>
      <c r="J1201" s="497" t="s">
        <v>220</v>
      </c>
      <c r="K1201" s="494">
        <f>K1193+K1198+K1200</f>
        <v>106950</v>
      </c>
      <c r="L1201" s="649">
        <f>N1201/K1201</f>
        <v>0.11173445535296868</v>
      </c>
      <c r="M1201" s="497"/>
      <c r="N1201" s="498">
        <f>SUM(N1190:N1200)</f>
        <v>11950</v>
      </c>
      <c r="Q1201" s="595"/>
      <c r="R1201" s="484"/>
      <c r="S1201" s="595"/>
      <c r="T1201" s="595"/>
      <c r="U1201" s="595"/>
    </row>
    <row r="1202" spans="2:21" s="485" customFormat="1" ht="14.1" customHeight="1">
      <c r="B1202" s="951"/>
      <c r="C1202" s="605" t="s">
        <v>217</v>
      </c>
      <c r="D1202" s="619" t="s">
        <v>221</v>
      </c>
      <c r="E1202" s="613"/>
      <c r="F1202" s="499">
        <f>$F$48</f>
        <v>0.1</v>
      </c>
      <c r="G1202" s="605" t="s">
        <v>168</v>
      </c>
      <c r="H1202" s="499">
        <f>$H$48</f>
        <v>0.02</v>
      </c>
      <c r="I1202" s="621" t="s">
        <v>167</v>
      </c>
      <c r="J1202" s="494" t="s">
        <v>216</v>
      </c>
      <c r="K1202" s="500">
        <f>ROUND((K1201*(F1202+H1202)),2)</f>
        <v>12834</v>
      </c>
      <c r="L1202" s="494"/>
      <c r="M1202" s="494"/>
      <c r="N1202" s="494"/>
      <c r="Q1202" s="595"/>
      <c r="R1202" s="484"/>
      <c r="S1202" s="595"/>
      <c r="T1202" s="595"/>
      <c r="U1202" s="595"/>
    </row>
    <row r="1203" spans="2:21" s="485" customFormat="1" ht="14.1" customHeight="1">
      <c r="B1203" s="951"/>
      <c r="C1203" s="622" t="s">
        <v>222</v>
      </c>
      <c r="D1203" s="623" t="s">
        <v>76</v>
      </c>
      <c r="E1203" s="624"/>
      <c r="F1203" s="624"/>
      <c r="G1203" s="624"/>
      <c r="H1203" s="625"/>
      <c r="I1203" s="624"/>
      <c r="J1203" s="626" t="s">
        <v>226</v>
      </c>
      <c r="K1203" s="627">
        <f>SUM(K1201:K1202)</f>
        <v>119784</v>
      </c>
      <c r="L1203" s="620"/>
      <c r="M1203" s="626"/>
      <c r="N1203" s="635"/>
      <c r="Q1203" s="595"/>
      <c r="R1203" s="484"/>
      <c r="S1203" s="595"/>
      <c r="T1203" s="595"/>
      <c r="U1203" s="595"/>
    </row>
    <row r="1204" spans="2:21" s="485" customFormat="1" ht="14.1" customHeight="1">
      <c r="B1204" s="948"/>
      <c r="H1204" s="488"/>
      <c r="Q1204" s="595"/>
      <c r="R1204" s="484"/>
      <c r="S1204" s="595"/>
      <c r="T1204" s="595"/>
      <c r="U1204" s="595"/>
    </row>
    <row r="1205" spans="2:21" s="485" customFormat="1" ht="14.1" hidden="1" customHeight="1">
      <c r="B1205" s="951">
        <f>B1187+1</f>
        <v>61</v>
      </c>
      <c r="C1205" s="488"/>
      <c r="D1205" s="709" t="s">
        <v>619</v>
      </c>
      <c r="H1205" s="488"/>
      <c r="K1205" s="591" t="s">
        <v>239</v>
      </c>
      <c r="L1205" s="591"/>
      <c r="M1205" s="591"/>
      <c r="N1205" s="591"/>
      <c r="O1205" s="485" t="str">
        <f>D1206</f>
        <v>bh</v>
      </c>
      <c r="P1205" s="636">
        <f>K1221</f>
        <v>108584</v>
      </c>
      <c r="Q1205" s="593">
        <f>L1219</f>
        <v>0.12325941206807632</v>
      </c>
      <c r="R1205" s="484">
        <f>N1219</f>
        <v>11950</v>
      </c>
      <c r="S1205" s="594"/>
      <c r="T1205" s="484"/>
      <c r="U1205" s="593"/>
    </row>
    <row r="1206" spans="2:21" s="485" customFormat="1" ht="14.1" hidden="1" customHeight="1">
      <c r="B1206" s="951"/>
      <c r="C1206" s="488"/>
      <c r="D1206" s="485" t="s">
        <v>45</v>
      </c>
      <c r="H1206" s="488"/>
      <c r="Q1206" s="595"/>
      <c r="R1206" s="484"/>
      <c r="S1206" s="595"/>
      <c r="T1206" s="595"/>
      <c r="U1206" s="595"/>
    </row>
    <row r="1207" spans="2:21" s="485" customFormat="1" ht="14.1" hidden="1" customHeight="1">
      <c r="B1207" s="951"/>
      <c r="C1207" s="596"/>
      <c r="D1207" s="977" t="s">
        <v>55</v>
      </c>
      <c r="E1207" s="978"/>
      <c r="F1207" s="597"/>
      <c r="G1207" s="981" t="s">
        <v>56</v>
      </c>
      <c r="H1207" s="981" t="s">
        <v>57</v>
      </c>
      <c r="I1207" s="596" t="s">
        <v>58</v>
      </c>
      <c r="J1207" s="596" t="s">
        <v>59</v>
      </c>
      <c r="K1207" s="596" t="s">
        <v>102</v>
      </c>
      <c r="L1207" s="596" t="s">
        <v>418</v>
      </c>
      <c r="M1207" s="596" t="s">
        <v>419</v>
      </c>
      <c r="N1207" s="596" t="s">
        <v>59</v>
      </c>
      <c r="Q1207" s="595"/>
      <c r="R1207" s="484"/>
      <c r="S1207" s="595"/>
      <c r="T1207" s="595"/>
      <c r="U1207" s="595"/>
    </row>
    <row r="1208" spans="2:21" s="485" customFormat="1" ht="14.1" hidden="1" customHeight="1">
      <c r="B1208" s="951"/>
      <c r="C1208" s="598" t="s">
        <v>227</v>
      </c>
      <c r="D1208" s="979"/>
      <c r="E1208" s="980"/>
      <c r="F1208" s="599"/>
      <c r="G1208" s="982"/>
      <c r="H1208" s="982"/>
      <c r="I1208" s="598" t="s">
        <v>60</v>
      </c>
      <c r="J1208" s="598" t="s">
        <v>61</v>
      </c>
      <c r="K1208" s="598" t="s">
        <v>61</v>
      </c>
      <c r="L1208" s="598" t="s">
        <v>421</v>
      </c>
      <c r="M1208" s="598"/>
      <c r="N1208" s="598" t="s">
        <v>423</v>
      </c>
      <c r="Q1208" s="595"/>
      <c r="R1208" s="484"/>
      <c r="S1208" s="595"/>
      <c r="T1208" s="595"/>
      <c r="U1208" s="595"/>
    </row>
    <row r="1209" spans="2:21" s="485" customFormat="1" ht="14.1" hidden="1" customHeight="1">
      <c r="B1209" s="951"/>
      <c r="C1209" s="600"/>
      <c r="D1209" s="969"/>
      <c r="E1209" s="970"/>
      <c r="F1209" s="601"/>
      <c r="G1209" s="973"/>
      <c r="H1209" s="973"/>
      <c r="I1209" s="600" t="s">
        <v>61</v>
      </c>
      <c r="J1209" s="602"/>
      <c r="K1209" s="602"/>
      <c r="L1209" s="602"/>
      <c r="M1209" s="602"/>
      <c r="N1209" s="600" t="s">
        <v>61</v>
      </c>
      <c r="Q1209" s="595"/>
      <c r="R1209" s="484"/>
      <c r="S1209" s="595"/>
      <c r="T1209" s="595"/>
      <c r="U1209" s="595"/>
    </row>
    <row r="1210" spans="2:21" s="485" customFormat="1" ht="14.1" hidden="1" customHeight="1">
      <c r="B1210" s="951"/>
      <c r="C1210" s="596" t="s">
        <v>213</v>
      </c>
      <c r="D1210" s="603" t="s">
        <v>62</v>
      </c>
      <c r="E1210" s="715" t="s">
        <v>620</v>
      </c>
      <c r="F1210" s="710"/>
      <c r="G1210" s="605" t="s">
        <v>51</v>
      </c>
      <c r="H1210" s="711">
        <v>1</v>
      </c>
      <c r="I1210" s="491">
        <f>'UPH-TNG'!$I$59</f>
        <v>85000</v>
      </c>
      <c r="J1210" s="491">
        <f>ROUND(H1210*I1210,2)</f>
        <v>85000</v>
      </c>
      <c r="K1210" s="492"/>
      <c r="L1210" s="501">
        <v>0</v>
      </c>
      <c r="M1210" s="494"/>
      <c r="N1210" s="491">
        <f t="shared" ref="N1210:N1218" si="77">L1210*J1210</f>
        <v>0</v>
      </c>
      <c r="Q1210" s="595"/>
      <c r="R1210" s="484"/>
      <c r="S1210" s="595"/>
      <c r="T1210" s="595"/>
      <c r="U1210" s="595"/>
    </row>
    <row r="1211" spans="2:21" s="485" customFormat="1" ht="14.1" hidden="1" customHeight="1">
      <c r="B1211" s="951"/>
      <c r="C1211" s="600"/>
      <c r="D1211" s="607"/>
      <c r="E1211" s="712"/>
      <c r="F1211" s="713"/>
      <c r="G1211" s="610"/>
      <c r="H1211" s="714"/>
      <c r="I1211" s="504"/>
      <c r="J1211" s="495"/>
      <c r="K1211" s="491">
        <f>SUM(J1210:J1210)</f>
        <v>85000</v>
      </c>
      <c r="L1211" s="501"/>
      <c r="M1211" s="494"/>
      <c r="N1211" s="491">
        <f t="shared" si="77"/>
        <v>0</v>
      </c>
      <c r="Q1211" s="595"/>
      <c r="R1211" s="484"/>
      <c r="S1211" s="595"/>
      <c r="T1211" s="595"/>
      <c r="U1211" s="595"/>
    </row>
    <row r="1212" spans="2:21" s="485" customFormat="1" ht="14.1" hidden="1" customHeight="1">
      <c r="B1212" s="951"/>
      <c r="C1212" s="596" t="s">
        <v>214</v>
      </c>
      <c r="D1212" s="603" t="s">
        <v>63</v>
      </c>
      <c r="E1212" s="710" t="s">
        <v>64</v>
      </c>
      <c r="F1212" s="710"/>
      <c r="G1212" s="605" t="s">
        <v>66</v>
      </c>
      <c r="H1212" s="711">
        <v>0.01</v>
      </c>
      <c r="I1212" s="491">
        <f>'UPH-TNG'!$I$15</f>
        <v>92000</v>
      </c>
      <c r="J1212" s="491">
        <f>ROUND(H1212*I1212,2)</f>
        <v>920</v>
      </c>
      <c r="K1212" s="492"/>
      <c r="L1212" s="493">
        <v>1</v>
      </c>
      <c r="M1212" s="493" t="s">
        <v>422</v>
      </c>
      <c r="N1212" s="491">
        <f t="shared" si="77"/>
        <v>920</v>
      </c>
      <c r="Q1212" s="595"/>
      <c r="R1212" s="484"/>
      <c r="S1212" s="595"/>
      <c r="T1212" s="595"/>
      <c r="U1212" s="595"/>
    </row>
    <row r="1213" spans="2:21" s="485" customFormat="1" ht="14.1" hidden="1" customHeight="1">
      <c r="B1213" s="951"/>
      <c r="C1213" s="598"/>
      <c r="D1213" s="607"/>
      <c r="E1213" s="710" t="s">
        <v>125</v>
      </c>
      <c r="F1213" s="710"/>
      <c r="G1213" s="605" t="s">
        <v>66</v>
      </c>
      <c r="H1213" s="711">
        <v>0.1</v>
      </c>
      <c r="I1213" s="491">
        <f>'UPH-TNG'!$I$21</f>
        <v>95000</v>
      </c>
      <c r="J1213" s="491">
        <f>ROUND(H1213*I1213,2)</f>
        <v>9500</v>
      </c>
      <c r="K1213" s="496"/>
      <c r="L1213" s="493">
        <v>1</v>
      </c>
      <c r="M1213" s="493" t="s">
        <v>422</v>
      </c>
      <c r="N1213" s="491">
        <f t="shared" si="77"/>
        <v>9500</v>
      </c>
      <c r="Q1213" s="595"/>
      <c r="R1213" s="484"/>
      <c r="S1213" s="595"/>
      <c r="T1213" s="595"/>
      <c r="U1213" s="595"/>
    </row>
    <row r="1214" spans="2:21" s="485" customFormat="1" ht="14.1" hidden="1" customHeight="1">
      <c r="B1214" s="951"/>
      <c r="C1214" s="598"/>
      <c r="D1214" s="607"/>
      <c r="E1214" s="710" t="s">
        <v>238</v>
      </c>
      <c r="F1214" s="710"/>
      <c r="G1214" s="605" t="s">
        <v>66</v>
      </c>
      <c r="H1214" s="711">
        <v>0.01</v>
      </c>
      <c r="I1214" s="491">
        <f>'UPH-TNG'!$I$16</f>
        <v>104000</v>
      </c>
      <c r="J1214" s="491">
        <f>ROUND(H1214*I1214,2)</f>
        <v>1040</v>
      </c>
      <c r="K1214" s="496"/>
      <c r="L1214" s="493">
        <v>1</v>
      </c>
      <c r="M1214" s="493" t="s">
        <v>422</v>
      </c>
      <c r="N1214" s="491">
        <f t="shared" si="77"/>
        <v>1040</v>
      </c>
      <c r="Q1214" s="595"/>
      <c r="R1214" s="484"/>
      <c r="S1214" s="595"/>
      <c r="T1214" s="595"/>
      <c r="U1214" s="595"/>
    </row>
    <row r="1215" spans="2:21" s="485" customFormat="1" ht="14.1" hidden="1" customHeight="1">
      <c r="B1215" s="951"/>
      <c r="C1215" s="598"/>
      <c r="D1215" s="607"/>
      <c r="E1215" s="710" t="s">
        <v>65</v>
      </c>
      <c r="F1215" s="710"/>
      <c r="G1215" s="605" t="s">
        <v>66</v>
      </c>
      <c r="H1215" s="711">
        <v>5.0000000000000001E-3</v>
      </c>
      <c r="I1215" s="491">
        <f>'UPH-TNG'!$I$20</f>
        <v>98000</v>
      </c>
      <c r="J1215" s="491">
        <f>ROUND(H1215*I1215,2)</f>
        <v>490</v>
      </c>
      <c r="K1215" s="607"/>
      <c r="L1215" s="493">
        <v>1</v>
      </c>
      <c r="M1215" s="493" t="s">
        <v>422</v>
      </c>
      <c r="N1215" s="491">
        <f t="shared" si="77"/>
        <v>490</v>
      </c>
      <c r="Q1215" s="595"/>
      <c r="R1215" s="484"/>
      <c r="S1215" s="595"/>
      <c r="T1215" s="595"/>
      <c r="U1215" s="595"/>
    </row>
    <row r="1216" spans="2:21" s="485" customFormat="1" ht="14.1" hidden="1" customHeight="1">
      <c r="B1216" s="951"/>
      <c r="C1216" s="600"/>
      <c r="D1216" s="602"/>
      <c r="E1216" s="612"/>
      <c r="F1216" s="613"/>
      <c r="G1216" s="610"/>
      <c r="H1216" s="614"/>
      <c r="I1216" s="504"/>
      <c r="J1216" s="495"/>
      <c r="K1216" s="494">
        <f>SUM(J1212:J1215)</f>
        <v>11950</v>
      </c>
      <c r="L1216" s="501"/>
      <c r="M1216" s="494"/>
      <c r="N1216" s="491">
        <f t="shared" si="77"/>
        <v>0</v>
      </c>
      <c r="Q1216" s="595"/>
      <c r="R1216" s="484"/>
      <c r="S1216" s="595"/>
      <c r="T1216" s="595"/>
      <c r="U1216" s="595"/>
    </row>
    <row r="1217" spans="2:21" s="485" customFormat="1" ht="14.1" hidden="1" customHeight="1">
      <c r="B1217" s="951"/>
      <c r="C1217" s="596" t="s">
        <v>215</v>
      </c>
      <c r="D1217" s="603" t="s">
        <v>212</v>
      </c>
      <c r="E1217" s="615"/>
      <c r="F1217" s="615"/>
      <c r="G1217" s="605"/>
      <c r="H1217" s="616"/>
      <c r="I1217" s="617"/>
      <c r="J1217" s="491"/>
      <c r="K1217" s="492"/>
      <c r="L1217" s="501"/>
      <c r="M1217" s="494"/>
      <c r="N1217" s="491">
        <f t="shared" si="77"/>
        <v>0</v>
      </c>
      <c r="Q1217" s="595"/>
      <c r="R1217" s="484"/>
      <c r="S1217" s="595"/>
      <c r="T1217" s="595"/>
      <c r="U1217" s="595"/>
    </row>
    <row r="1218" spans="2:21" s="485" customFormat="1" ht="14.1" hidden="1" customHeight="1">
      <c r="B1218" s="951"/>
      <c r="C1218" s="600"/>
      <c r="D1218" s="602"/>
      <c r="E1218" s="612"/>
      <c r="F1218" s="613"/>
      <c r="G1218" s="610"/>
      <c r="H1218" s="614"/>
      <c r="I1218" s="618"/>
      <c r="J1218" s="495"/>
      <c r="K1218" s="494">
        <f>SUM(J1217:J1217)</f>
        <v>0</v>
      </c>
      <c r="L1218" s="501"/>
      <c r="M1218" s="494"/>
      <c r="N1218" s="491">
        <f t="shared" si="77"/>
        <v>0</v>
      </c>
      <c r="Q1218" s="595"/>
      <c r="R1218" s="484"/>
      <c r="S1218" s="595"/>
      <c r="T1218" s="595"/>
      <c r="U1218" s="595"/>
    </row>
    <row r="1219" spans="2:21" s="485" customFormat="1" ht="14.1" hidden="1" customHeight="1">
      <c r="B1219" s="951"/>
      <c r="C1219" s="605" t="s">
        <v>216</v>
      </c>
      <c r="D1219" s="619" t="s">
        <v>219</v>
      </c>
      <c r="E1219" s="613"/>
      <c r="F1219" s="613"/>
      <c r="G1219" s="610"/>
      <c r="H1219" s="614"/>
      <c r="I1219" s="618"/>
      <c r="J1219" s="497" t="s">
        <v>220</v>
      </c>
      <c r="K1219" s="494">
        <f>K1211+K1216+K1218</f>
        <v>96950</v>
      </c>
      <c r="L1219" s="649">
        <f>N1219/K1219</f>
        <v>0.12325941206807632</v>
      </c>
      <c r="M1219" s="497"/>
      <c r="N1219" s="498">
        <f>SUM(N1208:N1218)</f>
        <v>11950</v>
      </c>
      <c r="Q1219" s="595"/>
      <c r="R1219" s="484"/>
      <c r="S1219" s="595"/>
      <c r="T1219" s="595"/>
      <c r="U1219" s="595"/>
    </row>
    <row r="1220" spans="2:21" s="485" customFormat="1" ht="14.1" hidden="1" customHeight="1">
      <c r="B1220" s="951"/>
      <c r="C1220" s="605" t="s">
        <v>217</v>
      </c>
      <c r="D1220" s="619" t="s">
        <v>221</v>
      </c>
      <c r="E1220" s="613"/>
      <c r="F1220" s="499">
        <f>$F$48</f>
        <v>0.1</v>
      </c>
      <c r="G1220" s="605" t="s">
        <v>168</v>
      </c>
      <c r="H1220" s="499">
        <f>$H$48</f>
        <v>0.02</v>
      </c>
      <c r="I1220" s="621" t="s">
        <v>167</v>
      </c>
      <c r="J1220" s="494" t="s">
        <v>216</v>
      </c>
      <c r="K1220" s="500">
        <f>ROUND((K1219*(F1220+H1220)),2)</f>
        <v>11634</v>
      </c>
      <c r="L1220" s="494"/>
      <c r="M1220" s="494"/>
      <c r="N1220" s="494"/>
      <c r="Q1220" s="595"/>
      <c r="R1220" s="484"/>
      <c r="S1220" s="595"/>
      <c r="T1220" s="595"/>
      <c r="U1220" s="595"/>
    </row>
    <row r="1221" spans="2:21" s="485" customFormat="1" ht="14.1" hidden="1" customHeight="1">
      <c r="B1221" s="951"/>
      <c r="C1221" s="622" t="s">
        <v>222</v>
      </c>
      <c r="D1221" s="623" t="s">
        <v>76</v>
      </c>
      <c r="E1221" s="624"/>
      <c r="F1221" s="624"/>
      <c r="G1221" s="624"/>
      <c r="H1221" s="625"/>
      <c r="I1221" s="624"/>
      <c r="J1221" s="626" t="s">
        <v>226</v>
      </c>
      <c r="K1221" s="627">
        <f>SUM(K1219:K1220)</f>
        <v>108584</v>
      </c>
      <c r="L1221" s="620"/>
      <c r="M1221" s="626"/>
      <c r="N1221" s="635"/>
      <c r="Q1221" s="595"/>
      <c r="R1221" s="484"/>
      <c r="S1221" s="595"/>
      <c r="T1221" s="595"/>
      <c r="U1221" s="595"/>
    </row>
    <row r="1222" spans="2:21" s="485" customFormat="1" ht="14.1" hidden="1" customHeight="1">
      <c r="B1222" s="948"/>
      <c r="H1222" s="488"/>
      <c r="Q1222" s="595"/>
      <c r="R1222" s="484"/>
      <c r="S1222" s="595"/>
      <c r="T1222" s="595"/>
      <c r="U1222" s="595"/>
    </row>
    <row r="1223" spans="2:21" s="485" customFormat="1" ht="14.1" hidden="1" customHeight="1">
      <c r="B1223" s="951">
        <f>B1205+1</f>
        <v>62</v>
      </c>
      <c r="C1223" s="488"/>
      <c r="D1223" s="709" t="s">
        <v>462</v>
      </c>
      <c r="H1223" s="488"/>
      <c r="K1223" s="591" t="s">
        <v>463</v>
      </c>
      <c r="L1223" s="591"/>
      <c r="M1223" s="591"/>
      <c r="N1223" s="591"/>
      <c r="O1223" s="485" t="str">
        <f>D1224</f>
        <v>m'</v>
      </c>
      <c r="P1223" s="636">
        <f>K1240</f>
        <v>24379.040000000001</v>
      </c>
      <c r="Q1223" s="593">
        <f>L1238</f>
        <v>0.94298313961501357</v>
      </c>
      <c r="R1223" s="484">
        <f>N1238</f>
        <v>20525.914000000001</v>
      </c>
      <c r="S1223" s="594"/>
      <c r="T1223" s="484"/>
      <c r="U1223" s="593"/>
    </row>
    <row r="1224" spans="2:21" s="485" customFormat="1" ht="14.1" hidden="1" customHeight="1">
      <c r="B1224" s="951"/>
      <c r="C1224" s="488"/>
      <c r="D1224" s="485" t="s">
        <v>32</v>
      </c>
      <c r="H1224" s="488"/>
      <c r="Q1224" s="595"/>
      <c r="R1224" s="484"/>
      <c r="S1224" s="595"/>
      <c r="T1224" s="595"/>
      <c r="U1224" s="595"/>
    </row>
    <row r="1225" spans="2:21" s="485" customFormat="1" ht="14.1" hidden="1" customHeight="1">
      <c r="B1225" s="951"/>
      <c r="C1225" s="596"/>
      <c r="D1225" s="977" t="s">
        <v>55</v>
      </c>
      <c r="E1225" s="978"/>
      <c r="F1225" s="597"/>
      <c r="G1225" s="981" t="s">
        <v>56</v>
      </c>
      <c r="H1225" s="981" t="s">
        <v>57</v>
      </c>
      <c r="I1225" s="596" t="s">
        <v>58</v>
      </c>
      <c r="J1225" s="596" t="s">
        <v>59</v>
      </c>
      <c r="K1225" s="596" t="s">
        <v>102</v>
      </c>
      <c r="L1225" s="596" t="s">
        <v>418</v>
      </c>
      <c r="M1225" s="596" t="s">
        <v>419</v>
      </c>
      <c r="N1225" s="596" t="s">
        <v>59</v>
      </c>
      <c r="Q1225" s="595"/>
      <c r="R1225" s="484"/>
      <c r="S1225" s="595"/>
      <c r="T1225" s="595"/>
      <c r="U1225" s="595"/>
    </row>
    <row r="1226" spans="2:21" s="485" customFormat="1" ht="14.1" hidden="1" customHeight="1">
      <c r="B1226" s="951"/>
      <c r="C1226" s="598" t="s">
        <v>227</v>
      </c>
      <c r="D1226" s="979"/>
      <c r="E1226" s="980"/>
      <c r="F1226" s="599"/>
      <c r="G1226" s="982"/>
      <c r="H1226" s="982"/>
      <c r="I1226" s="598" t="s">
        <v>60</v>
      </c>
      <c r="J1226" s="598" t="s">
        <v>61</v>
      </c>
      <c r="K1226" s="598" t="s">
        <v>61</v>
      </c>
      <c r="L1226" s="598" t="s">
        <v>421</v>
      </c>
      <c r="M1226" s="598"/>
      <c r="N1226" s="598" t="s">
        <v>423</v>
      </c>
      <c r="Q1226" s="595"/>
      <c r="R1226" s="484"/>
      <c r="S1226" s="595"/>
      <c r="T1226" s="595"/>
      <c r="U1226" s="595"/>
    </row>
    <row r="1227" spans="2:21" s="485" customFormat="1" ht="14.1" hidden="1" customHeight="1">
      <c r="B1227" s="951"/>
      <c r="C1227" s="600"/>
      <c r="D1227" s="969"/>
      <c r="E1227" s="970"/>
      <c r="F1227" s="601"/>
      <c r="G1227" s="973"/>
      <c r="H1227" s="973"/>
      <c r="I1227" s="600" t="s">
        <v>61</v>
      </c>
      <c r="J1227" s="602"/>
      <c r="K1227" s="602"/>
      <c r="L1227" s="602"/>
      <c r="M1227" s="602"/>
      <c r="N1227" s="600" t="s">
        <v>61</v>
      </c>
      <c r="Q1227" s="595"/>
      <c r="R1227" s="484"/>
      <c r="S1227" s="595"/>
      <c r="T1227" s="595"/>
      <c r="U1227" s="595"/>
    </row>
    <row r="1228" spans="2:21" s="485" customFormat="1" ht="14.1" hidden="1" customHeight="1">
      <c r="B1228" s="951"/>
      <c r="C1228" s="596" t="s">
        <v>213</v>
      </c>
      <c r="D1228" s="603" t="s">
        <v>62</v>
      </c>
      <c r="E1228" s="710" t="s">
        <v>464</v>
      </c>
      <c r="F1228" s="710"/>
      <c r="G1228" s="605" t="s">
        <v>83</v>
      </c>
      <c r="H1228" s="711">
        <v>1.2</v>
      </c>
      <c r="I1228" s="491">
        <f>'UPH-TNG'!$I$112/4</f>
        <v>7700</v>
      </c>
      <c r="J1228" s="491">
        <f>ROUND(H1228*I1228,2)</f>
        <v>9240</v>
      </c>
      <c r="K1228" s="492"/>
      <c r="L1228" s="501">
        <v>0.93859999999999999</v>
      </c>
      <c r="M1228" s="494" t="s">
        <v>429</v>
      </c>
      <c r="N1228" s="491">
        <f t="shared" ref="N1228:N1237" si="78">L1228*J1228</f>
        <v>8672.6640000000007</v>
      </c>
      <c r="Q1228" s="595"/>
      <c r="R1228" s="484"/>
      <c r="S1228" s="595"/>
      <c r="T1228" s="595"/>
      <c r="U1228" s="595"/>
    </row>
    <row r="1229" spans="2:21" s="485" customFormat="1" ht="14.1" hidden="1" customHeight="1">
      <c r="B1229" s="951"/>
      <c r="C1229" s="598"/>
      <c r="D1229" s="607"/>
      <c r="E1229" s="710" t="s">
        <v>130</v>
      </c>
      <c r="F1229" s="710"/>
      <c r="G1229" s="605" t="s">
        <v>45</v>
      </c>
      <c r="H1229" s="711">
        <v>1</v>
      </c>
      <c r="I1229" s="491">
        <f>I1228*0.35</f>
        <v>2695</v>
      </c>
      <c r="J1229" s="491">
        <f>ROUND(H1229*I1229,2)</f>
        <v>2695</v>
      </c>
      <c r="K1229" s="511"/>
      <c r="L1229" s="501">
        <v>0.75</v>
      </c>
      <c r="M1229" s="494" t="s">
        <v>430</v>
      </c>
      <c r="N1229" s="491">
        <f t="shared" si="78"/>
        <v>2021.25</v>
      </c>
      <c r="Q1229" s="595"/>
      <c r="R1229" s="484"/>
      <c r="S1229" s="595"/>
      <c r="T1229" s="595"/>
      <c r="U1229" s="595"/>
    </row>
    <row r="1230" spans="2:21" s="485" customFormat="1" ht="14.1" hidden="1" customHeight="1">
      <c r="B1230" s="951"/>
      <c r="C1230" s="600"/>
      <c r="D1230" s="607"/>
      <c r="E1230" s="712" t="s">
        <v>156</v>
      </c>
      <c r="F1230" s="713"/>
      <c r="G1230" s="610"/>
      <c r="H1230" s="714"/>
      <c r="I1230" s="504"/>
      <c r="J1230" s="495"/>
      <c r="K1230" s="491">
        <f>SUM(J1228:J1229)</f>
        <v>11935</v>
      </c>
      <c r="L1230" s="493"/>
      <c r="M1230" s="494"/>
      <c r="N1230" s="491">
        <f t="shared" si="78"/>
        <v>0</v>
      </c>
      <c r="Q1230" s="595"/>
      <c r="R1230" s="484"/>
      <c r="S1230" s="595"/>
      <c r="T1230" s="595"/>
      <c r="U1230" s="595"/>
    </row>
    <row r="1231" spans="2:21" s="485" customFormat="1" ht="14.1" hidden="1" customHeight="1">
      <c r="B1231" s="951"/>
      <c r="C1231" s="596" t="s">
        <v>214</v>
      </c>
      <c r="D1231" s="603" t="s">
        <v>63</v>
      </c>
      <c r="E1231" s="710" t="s">
        <v>64</v>
      </c>
      <c r="F1231" s="710"/>
      <c r="G1231" s="605" t="s">
        <v>66</v>
      </c>
      <c r="H1231" s="711">
        <v>3.5999999999999997E-2</v>
      </c>
      <c r="I1231" s="491">
        <f>'UPH-TNG'!$I$15</f>
        <v>92000</v>
      </c>
      <c r="J1231" s="491">
        <f>ROUND(H1231*I1231,2)</f>
        <v>3312</v>
      </c>
      <c r="K1231" s="492"/>
      <c r="L1231" s="493">
        <v>1</v>
      </c>
      <c r="M1231" s="493" t="s">
        <v>422</v>
      </c>
      <c r="N1231" s="491">
        <f t="shared" si="78"/>
        <v>3312</v>
      </c>
      <c r="Q1231" s="595"/>
      <c r="R1231" s="484"/>
      <c r="S1231" s="595"/>
      <c r="T1231" s="595"/>
      <c r="U1231" s="595"/>
    </row>
    <row r="1232" spans="2:21" s="485" customFormat="1" ht="14.1" hidden="1" customHeight="1">
      <c r="B1232" s="951"/>
      <c r="C1232" s="598"/>
      <c r="D1232" s="607"/>
      <c r="E1232" s="710" t="s">
        <v>125</v>
      </c>
      <c r="F1232" s="710"/>
      <c r="G1232" s="605" t="s">
        <v>66</v>
      </c>
      <c r="H1232" s="711">
        <v>0.06</v>
      </c>
      <c r="I1232" s="491">
        <f>'UPH-TNG'!$I$21</f>
        <v>95000</v>
      </c>
      <c r="J1232" s="491">
        <f>ROUND(H1232*I1232,2)</f>
        <v>5700</v>
      </c>
      <c r="K1232" s="496"/>
      <c r="L1232" s="493">
        <v>1</v>
      </c>
      <c r="M1232" s="493" t="s">
        <v>422</v>
      </c>
      <c r="N1232" s="491">
        <f t="shared" si="78"/>
        <v>5700</v>
      </c>
      <c r="Q1232" s="595"/>
      <c r="R1232" s="484"/>
      <c r="S1232" s="595"/>
      <c r="T1232" s="595"/>
      <c r="U1232" s="595"/>
    </row>
    <row r="1233" spans="2:21" s="485" customFormat="1" ht="14.1" hidden="1" customHeight="1">
      <c r="B1233" s="951"/>
      <c r="C1233" s="598"/>
      <c r="D1233" s="607"/>
      <c r="E1233" s="710" t="s">
        <v>238</v>
      </c>
      <c r="F1233" s="710"/>
      <c r="G1233" s="605" t="s">
        <v>66</v>
      </c>
      <c r="H1233" s="711">
        <v>6.0000000000000001E-3</v>
      </c>
      <c r="I1233" s="491">
        <f>'UPH-TNG'!$I$16</f>
        <v>104000</v>
      </c>
      <c r="J1233" s="491">
        <f>ROUND(H1233*I1233,2)</f>
        <v>624</v>
      </c>
      <c r="K1233" s="496"/>
      <c r="L1233" s="493">
        <v>1</v>
      </c>
      <c r="M1233" s="493" t="s">
        <v>422</v>
      </c>
      <c r="N1233" s="491">
        <f t="shared" si="78"/>
        <v>624</v>
      </c>
      <c r="Q1233" s="595"/>
      <c r="R1233" s="484"/>
      <c r="S1233" s="595"/>
      <c r="T1233" s="595"/>
      <c r="U1233" s="595"/>
    </row>
    <row r="1234" spans="2:21" s="485" customFormat="1" ht="14.1" hidden="1" customHeight="1">
      <c r="B1234" s="951"/>
      <c r="C1234" s="598"/>
      <c r="D1234" s="607"/>
      <c r="E1234" s="710" t="s">
        <v>65</v>
      </c>
      <c r="F1234" s="710"/>
      <c r="G1234" s="605" t="s">
        <v>66</v>
      </c>
      <c r="H1234" s="711">
        <v>2E-3</v>
      </c>
      <c r="I1234" s="491">
        <f>'UPH-TNG'!$I$20</f>
        <v>98000</v>
      </c>
      <c r="J1234" s="491">
        <f>ROUND(H1234*I1234,2)</f>
        <v>196</v>
      </c>
      <c r="K1234" s="607"/>
      <c r="L1234" s="493">
        <v>1</v>
      </c>
      <c r="M1234" s="493" t="s">
        <v>422</v>
      </c>
      <c r="N1234" s="491">
        <f t="shared" si="78"/>
        <v>196</v>
      </c>
      <c r="Q1234" s="595"/>
      <c r="R1234" s="484"/>
      <c r="S1234" s="595"/>
      <c r="T1234" s="595"/>
      <c r="U1234" s="595"/>
    </row>
    <row r="1235" spans="2:21" s="485" customFormat="1" ht="14.1" hidden="1" customHeight="1">
      <c r="B1235" s="951"/>
      <c r="C1235" s="600"/>
      <c r="D1235" s="602"/>
      <c r="E1235" s="612"/>
      <c r="F1235" s="613"/>
      <c r="G1235" s="610"/>
      <c r="H1235" s="614"/>
      <c r="I1235" s="504"/>
      <c r="J1235" s="495"/>
      <c r="K1235" s="494">
        <f>SUM(J1231:J1234)</f>
        <v>9832</v>
      </c>
      <c r="L1235" s="493"/>
      <c r="M1235" s="494"/>
      <c r="N1235" s="491">
        <f t="shared" si="78"/>
        <v>0</v>
      </c>
      <c r="Q1235" s="595"/>
      <c r="R1235" s="484"/>
      <c r="S1235" s="595"/>
      <c r="T1235" s="595"/>
      <c r="U1235" s="595"/>
    </row>
    <row r="1236" spans="2:21" s="485" customFormat="1" ht="14.1" hidden="1" customHeight="1">
      <c r="B1236" s="951"/>
      <c r="C1236" s="596" t="s">
        <v>215</v>
      </c>
      <c r="D1236" s="603" t="s">
        <v>212</v>
      </c>
      <c r="E1236" s="615"/>
      <c r="F1236" s="615"/>
      <c r="G1236" s="605"/>
      <c r="H1236" s="616"/>
      <c r="I1236" s="617"/>
      <c r="J1236" s="491"/>
      <c r="K1236" s="492"/>
      <c r="L1236" s="493"/>
      <c r="M1236" s="494"/>
      <c r="N1236" s="491">
        <f t="shared" si="78"/>
        <v>0</v>
      </c>
      <c r="Q1236" s="595"/>
      <c r="R1236" s="484"/>
      <c r="S1236" s="595"/>
      <c r="T1236" s="595"/>
      <c r="U1236" s="595"/>
    </row>
    <row r="1237" spans="2:21" s="485" customFormat="1" ht="14.1" hidden="1" customHeight="1">
      <c r="B1237" s="951"/>
      <c r="C1237" s="600"/>
      <c r="D1237" s="602"/>
      <c r="E1237" s="612"/>
      <c r="F1237" s="613"/>
      <c r="G1237" s="610"/>
      <c r="H1237" s="614"/>
      <c r="I1237" s="618"/>
      <c r="J1237" s="495"/>
      <c r="K1237" s="494">
        <f>SUM(J1236:J1236)</f>
        <v>0</v>
      </c>
      <c r="L1237" s="493"/>
      <c r="M1237" s="494"/>
      <c r="N1237" s="491">
        <f t="shared" si="78"/>
        <v>0</v>
      </c>
      <c r="Q1237" s="595"/>
      <c r="R1237" s="484"/>
      <c r="S1237" s="595"/>
      <c r="T1237" s="595"/>
      <c r="U1237" s="595"/>
    </row>
    <row r="1238" spans="2:21" s="485" customFormat="1" ht="14.1" hidden="1" customHeight="1">
      <c r="B1238" s="951"/>
      <c r="C1238" s="605" t="s">
        <v>216</v>
      </c>
      <c r="D1238" s="619" t="s">
        <v>219</v>
      </c>
      <c r="E1238" s="613"/>
      <c r="F1238" s="613"/>
      <c r="G1238" s="610"/>
      <c r="H1238" s="614"/>
      <c r="I1238" s="618"/>
      <c r="J1238" s="497" t="s">
        <v>220</v>
      </c>
      <c r="K1238" s="494">
        <f>K1230+K1235+K1237</f>
        <v>21767</v>
      </c>
      <c r="L1238" s="620">
        <f>N1238/K1238</f>
        <v>0.94298313961501357</v>
      </c>
      <c r="M1238" s="497"/>
      <c r="N1238" s="498">
        <f>SUM(N1227:N1237)</f>
        <v>20525.914000000001</v>
      </c>
      <c r="Q1238" s="595"/>
      <c r="R1238" s="484"/>
      <c r="S1238" s="595"/>
      <c r="T1238" s="595"/>
      <c r="U1238" s="595"/>
    </row>
    <row r="1239" spans="2:21" s="485" customFormat="1" ht="14.1" hidden="1" customHeight="1">
      <c r="B1239" s="951"/>
      <c r="C1239" s="605" t="s">
        <v>217</v>
      </c>
      <c r="D1239" s="619" t="s">
        <v>221</v>
      </c>
      <c r="E1239" s="613"/>
      <c r="F1239" s="499">
        <f>$F$48</f>
        <v>0.1</v>
      </c>
      <c r="G1239" s="605" t="s">
        <v>168</v>
      </c>
      <c r="H1239" s="499">
        <f>$H$48</f>
        <v>0.02</v>
      </c>
      <c r="I1239" s="621" t="s">
        <v>167</v>
      </c>
      <c r="J1239" s="494" t="s">
        <v>216</v>
      </c>
      <c r="K1239" s="500">
        <f>ROUND((K1238*(F1239+H1239)),2)</f>
        <v>2612.04</v>
      </c>
      <c r="L1239" s="494"/>
      <c r="M1239" s="494"/>
      <c r="N1239" s="494"/>
      <c r="Q1239" s="595"/>
      <c r="R1239" s="484"/>
      <c r="S1239" s="595"/>
      <c r="T1239" s="595"/>
      <c r="U1239" s="595"/>
    </row>
    <row r="1240" spans="2:21" s="485" customFormat="1" ht="14.1" hidden="1" customHeight="1">
      <c r="B1240" s="951"/>
      <c r="C1240" s="622" t="s">
        <v>222</v>
      </c>
      <c r="D1240" s="623" t="s">
        <v>76</v>
      </c>
      <c r="E1240" s="624"/>
      <c r="F1240" s="624"/>
      <c r="G1240" s="624"/>
      <c r="H1240" s="625"/>
      <c r="I1240" s="624"/>
      <c r="J1240" s="626" t="s">
        <v>226</v>
      </c>
      <c r="K1240" s="627">
        <f>SUM(K1238:K1239)</f>
        <v>24379.040000000001</v>
      </c>
      <c r="L1240" s="620"/>
      <c r="M1240" s="626"/>
      <c r="N1240" s="635"/>
      <c r="Q1240" s="595"/>
      <c r="R1240" s="484"/>
      <c r="S1240" s="595"/>
      <c r="T1240" s="595"/>
      <c r="U1240" s="595"/>
    </row>
    <row r="1241" spans="2:21" s="485" customFormat="1" ht="14.1" hidden="1" customHeight="1">
      <c r="B1241" s="948"/>
      <c r="H1241" s="488"/>
      <c r="Q1241" s="595"/>
      <c r="R1241" s="484"/>
      <c r="S1241" s="595"/>
      <c r="T1241" s="595"/>
      <c r="U1241" s="595"/>
    </row>
    <row r="1242" spans="2:21" s="485" customFormat="1" ht="14.1" customHeight="1">
      <c r="B1242" s="951">
        <f>B1223+1</f>
        <v>63</v>
      </c>
      <c r="C1242" s="488"/>
      <c r="D1242" s="709" t="s">
        <v>182</v>
      </c>
      <c r="H1242" s="488"/>
      <c r="K1242" s="591" t="s">
        <v>251</v>
      </c>
      <c r="L1242" s="591"/>
      <c r="M1242" s="591"/>
      <c r="N1242" s="591"/>
      <c r="O1242" s="485" t="str">
        <f>D1243</f>
        <v>m'</v>
      </c>
      <c r="P1242" s="636">
        <f>K1259</f>
        <v>24379.040000000001</v>
      </c>
      <c r="Q1242" s="593">
        <f>L1257</f>
        <v>0.94298313961501357</v>
      </c>
      <c r="R1242" s="484">
        <f>N1257</f>
        <v>20525.914000000001</v>
      </c>
      <c r="S1242" s="594"/>
      <c r="T1242" s="484"/>
      <c r="U1242" s="593"/>
    </row>
    <row r="1243" spans="2:21" s="485" customFormat="1" ht="14.1" customHeight="1">
      <c r="B1243" s="951"/>
      <c r="C1243" s="488"/>
      <c r="D1243" s="485" t="s">
        <v>32</v>
      </c>
      <c r="H1243" s="488"/>
      <c r="Q1243" s="595"/>
      <c r="R1243" s="484"/>
      <c r="S1243" s="595"/>
      <c r="T1243" s="595"/>
      <c r="U1243" s="595"/>
    </row>
    <row r="1244" spans="2:21" s="485" customFormat="1" ht="14.1" customHeight="1">
      <c r="B1244" s="951"/>
      <c r="C1244" s="596"/>
      <c r="D1244" s="977" t="s">
        <v>55</v>
      </c>
      <c r="E1244" s="978"/>
      <c r="F1244" s="597"/>
      <c r="G1244" s="981" t="s">
        <v>56</v>
      </c>
      <c r="H1244" s="981" t="s">
        <v>57</v>
      </c>
      <c r="I1244" s="596" t="s">
        <v>58</v>
      </c>
      <c r="J1244" s="596" t="s">
        <v>59</v>
      </c>
      <c r="K1244" s="596" t="s">
        <v>102</v>
      </c>
      <c r="L1244" s="596" t="s">
        <v>418</v>
      </c>
      <c r="M1244" s="596" t="s">
        <v>419</v>
      </c>
      <c r="N1244" s="596" t="s">
        <v>59</v>
      </c>
      <c r="Q1244" s="595"/>
      <c r="R1244" s="484"/>
      <c r="S1244" s="595"/>
      <c r="T1244" s="595"/>
      <c r="U1244" s="595"/>
    </row>
    <row r="1245" spans="2:21" s="485" customFormat="1" ht="14.1" customHeight="1">
      <c r="B1245" s="951"/>
      <c r="C1245" s="598" t="s">
        <v>227</v>
      </c>
      <c r="D1245" s="979"/>
      <c r="E1245" s="980"/>
      <c r="F1245" s="599"/>
      <c r="G1245" s="982"/>
      <c r="H1245" s="982"/>
      <c r="I1245" s="598" t="s">
        <v>60</v>
      </c>
      <c r="J1245" s="598" t="s">
        <v>61</v>
      </c>
      <c r="K1245" s="598" t="s">
        <v>61</v>
      </c>
      <c r="L1245" s="598" t="s">
        <v>421</v>
      </c>
      <c r="M1245" s="598"/>
      <c r="N1245" s="598" t="s">
        <v>423</v>
      </c>
      <c r="Q1245" s="595"/>
      <c r="R1245" s="484"/>
      <c r="S1245" s="595"/>
      <c r="T1245" s="595"/>
      <c r="U1245" s="595"/>
    </row>
    <row r="1246" spans="2:21" s="485" customFormat="1" ht="14.1" customHeight="1">
      <c r="B1246" s="951"/>
      <c r="C1246" s="600"/>
      <c r="D1246" s="969"/>
      <c r="E1246" s="970"/>
      <c r="F1246" s="601"/>
      <c r="G1246" s="973"/>
      <c r="H1246" s="973"/>
      <c r="I1246" s="600" t="s">
        <v>61</v>
      </c>
      <c r="J1246" s="602"/>
      <c r="K1246" s="602"/>
      <c r="L1246" s="602"/>
      <c r="M1246" s="602"/>
      <c r="N1246" s="600" t="s">
        <v>61</v>
      </c>
      <c r="Q1246" s="595"/>
      <c r="R1246" s="484"/>
      <c r="S1246" s="595"/>
      <c r="T1246" s="595"/>
      <c r="U1246" s="595"/>
    </row>
    <row r="1247" spans="2:21" s="485" customFormat="1" ht="14.1" customHeight="1">
      <c r="B1247" s="951"/>
      <c r="C1247" s="596" t="s">
        <v>213</v>
      </c>
      <c r="D1247" s="603" t="s">
        <v>62</v>
      </c>
      <c r="E1247" s="710" t="s">
        <v>151</v>
      </c>
      <c r="F1247" s="710"/>
      <c r="G1247" s="605" t="s">
        <v>83</v>
      </c>
      <c r="H1247" s="711">
        <v>1.2</v>
      </c>
      <c r="I1247" s="491">
        <f>'UPH-TNG'!$I$112/4</f>
        <v>7700</v>
      </c>
      <c r="J1247" s="491">
        <f>ROUND(H1247*I1247,2)</f>
        <v>9240</v>
      </c>
      <c r="K1247" s="492"/>
      <c r="L1247" s="501">
        <f>$L$1228</f>
        <v>0.93859999999999999</v>
      </c>
      <c r="M1247" s="494" t="s">
        <v>429</v>
      </c>
      <c r="N1247" s="491">
        <f t="shared" ref="N1247:N1256" si="79">L1247*J1247</f>
        <v>8672.6640000000007</v>
      </c>
      <c r="Q1247" s="595"/>
      <c r="R1247" s="484"/>
      <c r="S1247" s="595"/>
      <c r="T1247" s="595"/>
      <c r="U1247" s="595"/>
    </row>
    <row r="1248" spans="2:21" s="485" customFormat="1" ht="14.1" customHeight="1">
      <c r="B1248" s="951"/>
      <c r="C1248" s="598"/>
      <c r="D1248" s="607"/>
      <c r="E1248" s="710" t="s">
        <v>130</v>
      </c>
      <c r="F1248" s="710"/>
      <c r="G1248" s="605" t="s">
        <v>45</v>
      </c>
      <c r="H1248" s="711">
        <v>1</v>
      </c>
      <c r="I1248" s="491">
        <f>I1247*0.35</f>
        <v>2695</v>
      </c>
      <c r="J1248" s="491">
        <f>ROUND(H1248*I1248,2)</f>
        <v>2695</v>
      </c>
      <c r="K1248" s="511"/>
      <c r="L1248" s="501">
        <v>0.75</v>
      </c>
      <c r="M1248" s="494" t="s">
        <v>430</v>
      </c>
      <c r="N1248" s="491">
        <f t="shared" si="79"/>
        <v>2021.25</v>
      </c>
      <c r="Q1248" s="595"/>
      <c r="R1248" s="484"/>
      <c r="S1248" s="595"/>
      <c r="T1248" s="595"/>
      <c r="U1248" s="595"/>
    </row>
    <row r="1249" spans="2:21" s="485" customFormat="1" ht="14.1" customHeight="1">
      <c r="B1249" s="951"/>
      <c r="C1249" s="600"/>
      <c r="D1249" s="607"/>
      <c r="E1249" s="712" t="s">
        <v>156</v>
      </c>
      <c r="F1249" s="713"/>
      <c r="G1249" s="610"/>
      <c r="H1249" s="714"/>
      <c r="I1249" s="504"/>
      <c r="J1249" s="495"/>
      <c r="K1249" s="491">
        <f>SUM(J1247:J1248)</f>
        <v>11935</v>
      </c>
      <c r="L1249" s="493"/>
      <c r="M1249" s="494"/>
      <c r="N1249" s="491">
        <f t="shared" si="79"/>
        <v>0</v>
      </c>
      <c r="Q1249" s="595"/>
      <c r="R1249" s="484"/>
      <c r="S1249" s="595"/>
      <c r="T1249" s="595"/>
      <c r="U1249" s="595"/>
    </row>
    <row r="1250" spans="2:21" s="485" customFormat="1" ht="14.1" customHeight="1">
      <c r="B1250" s="951"/>
      <c r="C1250" s="596" t="s">
        <v>214</v>
      </c>
      <c r="D1250" s="603" t="s">
        <v>63</v>
      </c>
      <c r="E1250" s="710" t="s">
        <v>64</v>
      </c>
      <c r="F1250" s="710"/>
      <c r="G1250" s="605" t="s">
        <v>66</v>
      </c>
      <c r="H1250" s="711">
        <v>3.5999999999999997E-2</v>
      </c>
      <c r="I1250" s="491">
        <f>'UPH-TNG'!$I$15</f>
        <v>92000</v>
      </c>
      <c r="J1250" s="491">
        <f>ROUND(H1250*I1250,2)</f>
        <v>3312</v>
      </c>
      <c r="K1250" s="492"/>
      <c r="L1250" s="493">
        <v>1</v>
      </c>
      <c r="M1250" s="493" t="s">
        <v>422</v>
      </c>
      <c r="N1250" s="491">
        <f t="shared" si="79"/>
        <v>3312</v>
      </c>
      <c r="Q1250" s="595"/>
      <c r="R1250" s="484"/>
      <c r="S1250" s="595"/>
      <c r="T1250" s="595"/>
      <c r="U1250" s="595"/>
    </row>
    <row r="1251" spans="2:21" s="485" customFormat="1" ht="14.1" customHeight="1">
      <c r="B1251" s="951"/>
      <c r="C1251" s="598"/>
      <c r="D1251" s="607"/>
      <c r="E1251" s="710" t="s">
        <v>125</v>
      </c>
      <c r="F1251" s="710"/>
      <c r="G1251" s="605" t="s">
        <v>66</v>
      </c>
      <c r="H1251" s="711">
        <v>0.06</v>
      </c>
      <c r="I1251" s="491">
        <f>'UPH-TNG'!$I$21</f>
        <v>95000</v>
      </c>
      <c r="J1251" s="491">
        <f>ROUND(H1251*I1251,2)</f>
        <v>5700</v>
      </c>
      <c r="K1251" s="496"/>
      <c r="L1251" s="493">
        <v>1</v>
      </c>
      <c r="M1251" s="493" t="s">
        <v>422</v>
      </c>
      <c r="N1251" s="491">
        <f t="shared" si="79"/>
        <v>5700</v>
      </c>
      <c r="Q1251" s="595"/>
      <c r="R1251" s="484"/>
      <c r="S1251" s="595"/>
      <c r="T1251" s="595"/>
      <c r="U1251" s="595"/>
    </row>
    <row r="1252" spans="2:21" s="485" customFormat="1" ht="14.1" customHeight="1">
      <c r="B1252" s="951"/>
      <c r="C1252" s="598"/>
      <c r="D1252" s="607"/>
      <c r="E1252" s="710" t="s">
        <v>238</v>
      </c>
      <c r="F1252" s="710"/>
      <c r="G1252" s="605" t="s">
        <v>66</v>
      </c>
      <c r="H1252" s="711">
        <v>6.0000000000000001E-3</v>
      </c>
      <c r="I1252" s="491">
        <f>'UPH-TNG'!$I$16</f>
        <v>104000</v>
      </c>
      <c r="J1252" s="491">
        <f>ROUND(H1252*I1252,2)</f>
        <v>624</v>
      </c>
      <c r="K1252" s="496"/>
      <c r="L1252" s="493">
        <v>1</v>
      </c>
      <c r="M1252" s="493" t="s">
        <v>422</v>
      </c>
      <c r="N1252" s="491">
        <f t="shared" si="79"/>
        <v>624</v>
      </c>
      <c r="Q1252" s="595"/>
      <c r="R1252" s="484"/>
      <c r="S1252" s="595"/>
      <c r="T1252" s="595"/>
      <c r="U1252" s="595"/>
    </row>
    <row r="1253" spans="2:21" s="485" customFormat="1" ht="14.1" customHeight="1">
      <c r="B1253" s="951"/>
      <c r="C1253" s="598"/>
      <c r="D1253" s="607"/>
      <c r="E1253" s="710" t="s">
        <v>65</v>
      </c>
      <c r="F1253" s="710"/>
      <c r="G1253" s="605" t="s">
        <v>66</v>
      </c>
      <c r="H1253" s="711">
        <v>2E-3</v>
      </c>
      <c r="I1253" s="491">
        <f>'UPH-TNG'!$I$20</f>
        <v>98000</v>
      </c>
      <c r="J1253" s="491">
        <f>ROUND(H1253*I1253,2)</f>
        <v>196</v>
      </c>
      <c r="K1253" s="607"/>
      <c r="L1253" s="493">
        <v>1</v>
      </c>
      <c r="M1253" s="493" t="s">
        <v>422</v>
      </c>
      <c r="N1253" s="491">
        <f t="shared" si="79"/>
        <v>196</v>
      </c>
      <c r="Q1253" s="595"/>
      <c r="R1253" s="484"/>
      <c r="S1253" s="595"/>
      <c r="T1253" s="595"/>
      <c r="U1253" s="595"/>
    </row>
    <row r="1254" spans="2:21" s="485" customFormat="1" ht="14.1" customHeight="1">
      <c r="B1254" s="951"/>
      <c r="C1254" s="600"/>
      <c r="D1254" s="602"/>
      <c r="E1254" s="612"/>
      <c r="F1254" s="613"/>
      <c r="G1254" s="610"/>
      <c r="H1254" s="614"/>
      <c r="I1254" s="504"/>
      <c r="J1254" s="495"/>
      <c r="K1254" s="494">
        <f>SUM(J1250:J1253)</f>
        <v>9832</v>
      </c>
      <c r="L1254" s="493"/>
      <c r="M1254" s="494"/>
      <c r="N1254" s="491">
        <f t="shared" si="79"/>
        <v>0</v>
      </c>
      <c r="Q1254" s="595"/>
      <c r="R1254" s="484"/>
      <c r="S1254" s="595"/>
      <c r="T1254" s="595"/>
      <c r="U1254" s="595"/>
    </row>
    <row r="1255" spans="2:21" s="485" customFormat="1" ht="14.1" customHeight="1">
      <c r="B1255" s="951"/>
      <c r="C1255" s="596" t="s">
        <v>215</v>
      </c>
      <c r="D1255" s="603" t="s">
        <v>212</v>
      </c>
      <c r="E1255" s="615"/>
      <c r="F1255" s="615"/>
      <c r="G1255" s="605"/>
      <c r="H1255" s="616"/>
      <c r="I1255" s="617"/>
      <c r="J1255" s="491"/>
      <c r="K1255" s="492"/>
      <c r="L1255" s="493"/>
      <c r="M1255" s="494"/>
      <c r="N1255" s="491">
        <f t="shared" si="79"/>
        <v>0</v>
      </c>
      <c r="Q1255" s="595"/>
      <c r="R1255" s="484"/>
      <c r="S1255" s="595"/>
      <c r="T1255" s="595"/>
      <c r="U1255" s="595"/>
    </row>
    <row r="1256" spans="2:21" s="485" customFormat="1" ht="14.1" customHeight="1">
      <c r="B1256" s="951"/>
      <c r="C1256" s="600"/>
      <c r="D1256" s="602"/>
      <c r="E1256" s="612"/>
      <c r="F1256" s="613"/>
      <c r="G1256" s="610"/>
      <c r="H1256" s="614"/>
      <c r="I1256" s="618"/>
      <c r="J1256" s="495"/>
      <c r="K1256" s="494">
        <f>SUM(J1255:J1255)</f>
        <v>0</v>
      </c>
      <c r="L1256" s="493"/>
      <c r="M1256" s="494"/>
      <c r="N1256" s="491">
        <f t="shared" si="79"/>
        <v>0</v>
      </c>
      <c r="Q1256" s="595"/>
      <c r="R1256" s="484"/>
      <c r="S1256" s="595"/>
      <c r="T1256" s="595"/>
      <c r="U1256" s="595"/>
    </row>
    <row r="1257" spans="2:21" s="485" customFormat="1" ht="14.1" customHeight="1">
      <c r="B1257" s="951"/>
      <c r="C1257" s="605" t="s">
        <v>216</v>
      </c>
      <c r="D1257" s="619" t="s">
        <v>219</v>
      </c>
      <c r="E1257" s="613"/>
      <c r="F1257" s="613"/>
      <c r="G1257" s="610"/>
      <c r="H1257" s="614"/>
      <c r="I1257" s="618"/>
      <c r="J1257" s="497" t="s">
        <v>220</v>
      </c>
      <c r="K1257" s="494">
        <f>K1249+K1254+K1256</f>
        <v>21767</v>
      </c>
      <c r="L1257" s="620">
        <f>N1257/K1257</f>
        <v>0.94298313961501357</v>
      </c>
      <c r="M1257" s="497"/>
      <c r="N1257" s="498">
        <f>SUM(N1246:N1256)</f>
        <v>20525.914000000001</v>
      </c>
      <c r="Q1257" s="595"/>
      <c r="R1257" s="484"/>
      <c r="S1257" s="595"/>
      <c r="T1257" s="595"/>
      <c r="U1257" s="595"/>
    </row>
    <row r="1258" spans="2:21" s="485" customFormat="1" ht="14.1" customHeight="1">
      <c r="B1258" s="951"/>
      <c r="C1258" s="605" t="s">
        <v>217</v>
      </c>
      <c r="D1258" s="619" t="s">
        <v>221</v>
      </c>
      <c r="E1258" s="613"/>
      <c r="F1258" s="499">
        <f>$F$48</f>
        <v>0.1</v>
      </c>
      <c r="G1258" s="605" t="s">
        <v>168</v>
      </c>
      <c r="H1258" s="499">
        <f>$H$48</f>
        <v>0.02</v>
      </c>
      <c r="I1258" s="621" t="s">
        <v>167</v>
      </c>
      <c r="J1258" s="494" t="s">
        <v>216</v>
      </c>
      <c r="K1258" s="500">
        <f>ROUND((K1257*(F1258+H1258)),2)</f>
        <v>2612.04</v>
      </c>
      <c r="L1258" s="494"/>
      <c r="M1258" s="494"/>
      <c r="N1258" s="494"/>
      <c r="Q1258" s="595"/>
      <c r="R1258" s="484"/>
      <c r="S1258" s="595"/>
      <c r="T1258" s="595"/>
      <c r="U1258" s="595"/>
    </row>
    <row r="1259" spans="2:21" s="485" customFormat="1" ht="14.1" customHeight="1">
      <c r="B1259" s="951"/>
      <c r="C1259" s="622" t="s">
        <v>222</v>
      </c>
      <c r="D1259" s="623" t="s">
        <v>76</v>
      </c>
      <c r="E1259" s="624"/>
      <c r="F1259" s="624"/>
      <c r="G1259" s="624"/>
      <c r="H1259" s="625"/>
      <c r="I1259" s="624"/>
      <c r="J1259" s="626" t="s">
        <v>226</v>
      </c>
      <c r="K1259" s="627">
        <f>SUM(K1257:K1258)</f>
        <v>24379.040000000001</v>
      </c>
      <c r="L1259" s="620"/>
      <c r="M1259" s="626"/>
      <c r="N1259" s="635"/>
      <c r="Q1259" s="595"/>
      <c r="R1259" s="484"/>
      <c r="S1259" s="595"/>
      <c r="T1259" s="595"/>
      <c r="U1259" s="595"/>
    </row>
    <row r="1260" spans="2:21">
      <c r="Q1260" s="595"/>
      <c r="R1260" s="484"/>
      <c r="S1260" s="595"/>
      <c r="T1260" s="595"/>
      <c r="U1260" s="595"/>
    </row>
    <row r="1261" spans="2:21" s="485" customFormat="1" ht="14.1" hidden="1" customHeight="1">
      <c r="B1261" s="951">
        <f>B1242+1</f>
        <v>64</v>
      </c>
      <c r="C1261" s="488"/>
      <c r="D1261" s="709" t="s">
        <v>183</v>
      </c>
      <c r="H1261" s="488"/>
      <c r="K1261" s="591" t="s">
        <v>297</v>
      </c>
      <c r="L1261" s="591"/>
      <c r="M1261" s="591"/>
      <c r="N1261" s="591"/>
      <c r="O1261" s="485" t="str">
        <f>D1262</f>
        <v>m'</v>
      </c>
      <c r="P1261" s="636">
        <f>K1279</f>
        <v>27243.439999999999</v>
      </c>
      <c r="Q1261" s="593">
        <f>L1277</f>
        <v>0.93804464634422091</v>
      </c>
      <c r="R1261" s="484">
        <f>N1277</f>
        <v>22817.467000000001</v>
      </c>
      <c r="S1261" s="594"/>
      <c r="T1261" s="484"/>
      <c r="U1261" s="593"/>
    </row>
    <row r="1262" spans="2:21" s="485" customFormat="1" ht="14.1" hidden="1" customHeight="1">
      <c r="B1262" s="951"/>
      <c r="C1262" s="488"/>
      <c r="D1262" s="485" t="s">
        <v>32</v>
      </c>
      <c r="H1262" s="488"/>
      <c r="Q1262" s="595"/>
      <c r="R1262" s="484"/>
      <c r="S1262" s="595"/>
      <c r="T1262" s="595"/>
      <c r="U1262" s="595"/>
    </row>
    <row r="1263" spans="2:21" s="485" customFormat="1" ht="14.1" hidden="1" customHeight="1">
      <c r="B1263" s="951"/>
      <c r="C1263" s="488"/>
      <c r="H1263" s="488"/>
      <c r="Q1263" s="595"/>
      <c r="R1263" s="484"/>
      <c r="S1263" s="595"/>
      <c r="T1263" s="595"/>
      <c r="U1263" s="595"/>
    </row>
    <row r="1264" spans="2:21" s="485" customFormat="1" ht="14.1" hidden="1" customHeight="1">
      <c r="B1264" s="951"/>
      <c r="C1264" s="596"/>
      <c r="D1264" s="977" t="s">
        <v>55</v>
      </c>
      <c r="E1264" s="978"/>
      <c r="F1264" s="597"/>
      <c r="G1264" s="981" t="s">
        <v>56</v>
      </c>
      <c r="H1264" s="981" t="s">
        <v>57</v>
      </c>
      <c r="I1264" s="596" t="s">
        <v>58</v>
      </c>
      <c r="J1264" s="596" t="s">
        <v>59</v>
      </c>
      <c r="K1264" s="596" t="s">
        <v>102</v>
      </c>
      <c r="L1264" s="596" t="s">
        <v>418</v>
      </c>
      <c r="M1264" s="596" t="s">
        <v>419</v>
      </c>
      <c r="N1264" s="596" t="s">
        <v>59</v>
      </c>
      <c r="Q1264" s="595"/>
      <c r="R1264" s="484"/>
      <c r="S1264" s="595"/>
      <c r="T1264" s="595"/>
      <c r="U1264" s="595"/>
    </row>
    <row r="1265" spans="2:21" s="485" customFormat="1" ht="14.1" hidden="1" customHeight="1">
      <c r="B1265" s="951"/>
      <c r="C1265" s="598" t="s">
        <v>227</v>
      </c>
      <c r="D1265" s="979"/>
      <c r="E1265" s="980"/>
      <c r="F1265" s="599"/>
      <c r="G1265" s="982"/>
      <c r="H1265" s="982"/>
      <c r="I1265" s="598" t="s">
        <v>60</v>
      </c>
      <c r="J1265" s="598" t="s">
        <v>61</v>
      </c>
      <c r="K1265" s="598" t="s">
        <v>61</v>
      </c>
      <c r="L1265" s="598" t="s">
        <v>421</v>
      </c>
      <c r="M1265" s="598"/>
      <c r="N1265" s="598" t="s">
        <v>423</v>
      </c>
      <c r="Q1265" s="595"/>
      <c r="R1265" s="484"/>
      <c r="S1265" s="595"/>
      <c r="T1265" s="595"/>
      <c r="U1265" s="595"/>
    </row>
    <row r="1266" spans="2:21" s="485" customFormat="1" ht="14.1" hidden="1" customHeight="1">
      <c r="B1266" s="951"/>
      <c r="C1266" s="600"/>
      <c r="D1266" s="969"/>
      <c r="E1266" s="970"/>
      <c r="F1266" s="601"/>
      <c r="G1266" s="973"/>
      <c r="H1266" s="973"/>
      <c r="I1266" s="600" t="s">
        <v>61</v>
      </c>
      <c r="J1266" s="602"/>
      <c r="K1266" s="602"/>
      <c r="L1266" s="602"/>
      <c r="M1266" s="602"/>
      <c r="N1266" s="600" t="s">
        <v>61</v>
      </c>
      <c r="Q1266" s="595"/>
      <c r="R1266" s="484"/>
      <c r="S1266" s="595"/>
      <c r="T1266" s="595"/>
      <c r="U1266" s="595"/>
    </row>
    <row r="1267" spans="2:21" s="485" customFormat="1" ht="14.1" hidden="1" customHeight="1">
      <c r="B1267" s="951"/>
      <c r="C1267" s="596" t="s">
        <v>213</v>
      </c>
      <c r="D1267" s="603" t="s">
        <v>62</v>
      </c>
      <c r="E1267" s="710" t="s">
        <v>152</v>
      </c>
      <c r="F1267" s="710"/>
      <c r="G1267" s="605" t="s">
        <v>83</v>
      </c>
      <c r="H1267" s="711">
        <v>1.2</v>
      </c>
      <c r="I1267" s="491">
        <f>'UPH-TNG'!$I$113/4</f>
        <v>9350</v>
      </c>
      <c r="J1267" s="491">
        <f>ROUND(H1267*I1267,2)</f>
        <v>11220</v>
      </c>
      <c r="K1267" s="492"/>
      <c r="L1267" s="501">
        <f>$L$1228</f>
        <v>0.93859999999999999</v>
      </c>
      <c r="M1267" s="494" t="s">
        <v>429</v>
      </c>
      <c r="N1267" s="491">
        <f t="shared" ref="N1267:N1276" si="80">L1267*J1267</f>
        <v>10531.092000000001</v>
      </c>
      <c r="Q1267" s="595"/>
      <c r="R1267" s="484"/>
      <c r="S1267" s="595"/>
      <c r="T1267" s="595"/>
      <c r="U1267" s="595"/>
    </row>
    <row r="1268" spans="2:21" s="485" customFormat="1" ht="14.1" hidden="1" customHeight="1">
      <c r="B1268" s="951"/>
      <c r="C1268" s="598"/>
      <c r="D1268" s="607"/>
      <c r="E1268" s="710" t="s">
        <v>130</v>
      </c>
      <c r="F1268" s="710"/>
      <c r="G1268" s="605" t="s">
        <v>45</v>
      </c>
      <c r="H1268" s="711">
        <v>1</v>
      </c>
      <c r="I1268" s="491">
        <f>I1267*0.35</f>
        <v>3272.5</v>
      </c>
      <c r="J1268" s="491">
        <f>ROUND(H1268*I1268,2)</f>
        <v>3272.5</v>
      </c>
      <c r="K1268" s="511"/>
      <c r="L1268" s="501">
        <v>0.75</v>
      </c>
      <c r="M1268" s="494" t="s">
        <v>430</v>
      </c>
      <c r="N1268" s="491">
        <f t="shared" si="80"/>
        <v>2454.375</v>
      </c>
      <c r="Q1268" s="595"/>
      <c r="R1268" s="484"/>
      <c r="S1268" s="595"/>
      <c r="T1268" s="595"/>
      <c r="U1268" s="595"/>
    </row>
    <row r="1269" spans="2:21" s="485" customFormat="1" ht="14.1" hidden="1" customHeight="1">
      <c r="B1269" s="951"/>
      <c r="C1269" s="600"/>
      <c r="D1269" s="607"/>
      <c r="E1269" s="712" t="s">
        <v>156</v>
      </c>
      <c r="F1269" s="713"/>
      <c r="G1269" s="610"/>
      <c r="H1269" s="714"/>
      <c r="I1269" s="504"/>
      <c r="J1269" s="495"/>
      <c r="K1269" s="491">
        <f>SUM(J1267:J1268)</f>
        <v>14492.5</v>
      </c>
      <c r="L1269" s="493"/>
      <c r="M1269" s="494"/>
      <c r="N1269" s="491">
        <f t="shared" si="80"/>
        <v>0</v>
      </c>
      <c r="Q1269" s="595"/>
      <c r="R1269" s="484"/>
      <c r="S1269" s="595"/>
      <c r="T1269" s="595"/>
      <c r="U1269" s="595"/>
    </row>
    <row r="1270" spans="2:21" s="485" customFormat="1" ht="14.1" hidden="1" customHeight="1">
      <c r="B1270" s="951"/>
      <c r="C1270" s="596" t="s">
        <v>214</v>
      </c>
      <c r="D1270" s="603" t="s">
        <v>63</v>
      </c>
      <c r="E1270" s="710" t="s">
        <v>64</v>
      </c>
      <c r="F1270" s="710"/>
      <c r="G1270" s="605" t="s">
        <v>66</v>
      </c>
      <c r="H1270" s="711">
        <v>3.5999999999999997E-2</v>
      </c>
      <c r="I1270" s="491">
        <f>'UPH-TNG'!$I$15</f>
        <v>92000</v>
      </c>
      <c r="J1270" s="491">
        <f>ROUND(H1270*I1270,2)</f>
        <v>3312</v>
      </c>
      <c r="K1270" s="492"/>
      <c r="L1270" s="493">
        <v>1</v>
      </c>
      <c r="M1270" s="493" t="s">
        <v>422</v>
      </c>
      <c r="N1270" s="491">
        <f t="shared" si="80"/>
        <v>3312</v>
      </c>
      <c r="Q1270" s="595"/>
      <c r="R1270" s="484"/>
      <c r="S1270" s="595"/>
      <c r="T1270" s="595"/>
      <c r="U1270" s="595"/>
    </row>
    <row r="1271" spans="2:21" s="485" customFormat="1" ht="14.1" hidden="1" customHeight="1">
      <c r="B1271" s="951"/>
      <c r="C1271" s="598"/>
      <c r="D1271" s="607"/>
      <c r="E1271" s="710" t="s">
        <v>125</v>
      </c>
      <c r="F1271" s="710"/>
      <c r="G1271" s="605" t="s">
        <v>66</v>
      </c>
      <c r="H1271" s="711">
        <v>0.06</v>
      </c>
      <c r="I1271" s="491">
        <f>'UPH-TNG'!$I$21</f>
        <v>95000</v>
      </c>
      <c r="J1271" s="491">
        <f>ROUND(H1271*I1271,2)</f>
        <v>5700</v>
      </c>
      <c r="K1271" s="496"/>
      <c r="L1271" s="493">
        <v>1</v>
      </c>
      <c r="M1271" s="493" t="s">
        <v>422</v>
      </c>
      <c r="N1271" s="491">
        <f t="shared" si="80"/>
        <v>5700</v>
      </c>
      <c r="Q1271" s="595"/>
      <c r="R1271" s="484"/>
      <c r="S1271" s="595"/>
      <c r="T1271" s="595"/>
      <c r="U1271" s="595"/>
    </row>
    <row r="1272" spans="2:21" s="485" customFormat="1" ht="14.1" hidden="1" customHeight="1">
      <c r="B1272" s="951"/>
      <c r="C1272" s="598"/>
      <c r="D1272" s="607"/>
      <c r="E1272" s="710" t="s">
        <v>124</v>
      </c>
      <c r="F1272" s="710"/>
      <c r="G1272" s="605" t="s">
        <v>66</v>
      </c>
      <c r="H1272" s="711">
        <v>6.0000000000000001E-3</v>
      </c>
      <c r="I1272" s="491">
        <f>'UPH-TNG'!$I$16</f>
        <v>104000</v>
      </c>
      <c r="J1272" s="491">
        <f>ROUND(H1272*I1272,2)</f>
        <v>624</v>
      </c>
      <c r="K1272" s="496"/>
      <c r="L1272" s="493">
        <v>1</v>
      </c>
      <c r="M1272" s="493" t="s">
        <v>422</v>
      </c>
      <c r="N1272" s="491">
        <f t="shared" si="80"/>
        <v>624</v>
      </c>
      <c r="Q1272" s="595"/>
      <c r="R1272" s="484"/>
      <c r="S1272" s="595"/>
      <c r="T1272" s="595"/>
      <c r="U1272" s="595"/>
    </row>
    <row r="1273" spans="2:21" s="485" customFormat="1" ht="14.1" hidden="1" customHeight="1">
      <c r="B1273" s="951"/>
      <c r="C1273" s="598"/>
      <c r="D1273" s="607"/>
      <c r="E1273" s="710" t="s">
        <v>65</v>
      </c>
      <c r="F1273" s="710"/>
      <c r="G1273" s="605" t="s">
        <v>66</v>
      </c>
      <c r="H1273" s="716">
        <v>2E-3</v>
      </c>
      <c r="I1273" s="491">
        <f>'UPH-TNG'!$I$20</f>
        <v>98000</v>
      </c>
      <c r="J1273" s="491">
        <f>ROUND(H1273*I1273,2)</f>
        <v>196</v>
      </c>
      <c r="K1273" s="607"/>
      <c r="L1273" s="493">
        <v>1</v>
      </c>
      <c r="M1273" s="493" t="s">
        <v>422</v>
      </c>
      <c r="N1273" s="491">
        <f t="shared" si="80"/>
        <v>196</v>
      </c>
      <c r="Q1273" s="595"/>
      <c r="R1273" s="484"/>
      <c r="S1273" s="595"/>
      <c r="T1273" s="595"/>
      <c r="U1273" s="595"/>
    </row>
    <row r="1274" spans="2:21" s="485" customFormat="1" ht="14.1" hidden="1" customHeight="1">
      <c r="B1274" s="951"/>
      <c r="C1274" s="600"/>
      <c r="D1274" s="602"/>
      <c r="E1274" s="612"/>
      <c r="F1274" s="613"/>
      <c r="G1274" s="610"/>
      <c r="H1274" s="614"/>
      <c r="I1274" s="504"/>
      <c r="J1274" s="495"/>
      <c r="K1274" s="494">
        <f>SUM(J1270:J1273)</f>
        <v>9832</v>
      </c>
      <c r="L1274" s="493"/>
      <c r="M1274" s="494"/>
      <c r="N1274" s="491">
        <f t="shared" si="80"/>
        <v>0</v>
      </c>
      <c r="Q1274" s="595"/>
      <c r="R1274" s="484"/>
      <c r="S1274" s="595"/>
      <c r="T1274" s="595"/>
      <c r="U1274" s="595"/>
    </row>
    <row r="1275" spans="2:21" s="485" customFormat="1" ht="14.1" hidden="1" customHeight="1">
      <c r="B1275" s="951"/>
      <c r="C1275" s="596" t="s">
        <v>215</v>
      </c>
      <c r="D1275" s="603" t="s">
        <v>212</v>
      </c>
      <c r="E1275" s="615"/>
      <c r="F1275" s="615"/>
      <c r="G1275" s="605"/>
      <c r="H1275" s="616"/>
      <c r="I1275" s="617"/>
      <c r="J1275" s="491"/>
      <c r="K1275" s="492"/>
      <c r="L1275" s="493"/>
      <c r="M1275" s="494"/>
      <c r="N1275" s="491">
        <f t="shared" si="80"/>
        <v>0</v>
      </c>
      <c r="Q1275" s="595"/>
      <c r="R1275" s="484"/>
      <c r="S1275" s="595"/>
      <c r="T1275" s="595"/>
      <c r="U1275" s="595"/>
    </row>
    <row r="1276" spans="2:21" s="485" customFormat="1" ht="14.1" hidden="1" customHeight="1">
      <c r="B1276" s="951"/>
      <c r="C1276" s="600"/>
      <c r="D1276" s="602"/>
      <c r="E1276" s="612"/>
      <c r="F1276" s="613"/>
      <c r="G1276" s="610"/>
      <c r="H1276" s="614"/>
      <c r="I1276" s="618"/>
      <c r="J1276" s="495"/>
      <c r="K1276" s="494">
        <f>SUM(J1275:J1275)</f>
        <v>0</v>
      </c>
      <c r="L1276" s="493"/>
      <c r="M1276" s="494"/>
      <c r="N1276" s="491">
        <f t="shared" si="80"/>
        <v>0</v>
      </c>
      <c r="Q1276" s="595"/>
      <c r="R1276" s="484"/>
      <c r="S1276" s="595"/>
      <c r="T1276" s="595"/>
      <c r="U1276" s="595"/>
    </row>
    <row r="1277" spans="2:21" s="485" customFormat="1" ht="14.1" hidden="1" customHeight="1">
      <c r="B1277" s="951"/>
      <c r="C1277" s="605" t="s">
        <v>216</v>
      </c>
      <c r="D1277" s="619" t="s">
        <v>219</v>
      </c>
      <c r="E1277" s="613"/>
      <c r="F1277" s="613"/>
      <c r="G1277" s="610"/>
      <c r="H1277" s="614"/>
      <c r="I1277" s="618"/>
      <c r="J1277" s="497" t="s">
        <v>220</v>
      </c>
      <c r="K1277" s="494">
        <f>K1269+K1274+K1276</f>
        <v>24324.5</v>
      </c>
      <c r="L1277" s="620">
        <f>N1277/K1277</f>
        <v>0.93804464634422091</v>
      </c>
      <c r="M1277" s="497"/>
      <c r="N1277" s="498">
        <f>SUM(N1266:N1276)</f>
        <v>22817.467000000001</v>
      </c>
      <c r="Q1277" s="595"/>
      <c r="R1277" s="484"/>
      <c r="S1277" s="595"/>
      <c r="T1277" s="595"/>
      <c r="U1277" s="595"/>
    </row>
    <row r="1278" spans="2:21" s="485" customFormat="1" ht="14.1" hidden="1" customHeight="1">
      <c r="B1278" s="951"/>
      <c r="C1278" s="605" t="s">
        <v>217</v>
      </c>
      <c r="D1278" s="619" t="s">
        <v>221</v>
      </c>
      <c r="E1278" s="613"/>
      <c r="F1278" s="499">
        <f>$F$48</f>
        <v>0.1</v>
      </c>
      <c r="G1278" s="605" t="s">
        <v>168</v>
      </c>
      <c r="H1278" s="499">
        <f>$H$48</f>
        <v>0.02</v>
      </c>
      <c r="I1278" s="621" t="s">
        <v>167</v>
      </c>
      <c r="J1278" s="494" t="s">
        <v>216</v>
      </c>
      <c r="K1278" s="500">
        <f>ROUND((K1277*(F1278+H1278)),2)</f>
        <v>2918.94</v>
      </c>
      <c r="L1278" s="494"/>
      <c r="M1278" s="494"/>
      <c r="N1278" s="494"/>
      <c r="Q1278" s="595"/>
      <c r="R1278" s="484"/>
      <c r="S1278" s="595"/>
      <c r="T1278" s="595"/>
      <c r="U1278" s="595"/>
    </row>
    <row r="1279" spans="2:21" s="485" customFormat="1" ht="14.1" hidden="1" customHeight="1">
      <c r="B1279" s="951"/>
      <c r="C1279" s="622" t="s">
        <v>222</v>
      </c>
      <c r="D1279" s="623" t="s">
        <v>76</v>
      </c>
      <c r="E1279" s="624"/>
      <c r="F1279" s="624"/>
      <c r="G1279" s="624"/>
      <c r="H1279" s="625"/>
      <c r="I1279" s="624"/>
      <c r="J1279" s="626" t="s">
        <v>226</v>
      </c>
      <c r="K1279" s="627">
        <f>SUM(K1277:K1278)</f>
        <v>27243.439999999999</v>
      </c>
      <c r="L1279" s="620"/>
      <c r="M1279" s="626"/>
      <c r="N1279" s="635"/>
      <c r="Q1279" s="595"/>
      <c r="R1279" s="484"/>
      <c r="S1279" s="595"/>
      <c r="T1279" s="595"/>
      <c r="U1279" s="595"/>
    </row>
    <row r="1280" spans="2:21" s="485" customFormat="1" ht="14.1" hidden="1" customHeight="1">
      <c r="B1280" s="948"/>
      <c r="H1280" s="488"/>
      <c r="Q1280" s="595"/>
      <c r="R1280" s="484"/>
      <c r="S1280" s="595"/>
      <c r="T1280" s="595"/>
      <c r="U1280" s="595"/>
    </row>
    <row r="1281" spans="2:21" s="485" customFormat="1" ht="14.1" hidden="1" customHeight="1">
      <c r="B1281" s="951">
        <f>B1261+1</f>
        <v>65</v>
      </c>
      <c r="C1281" s="488"/>
      <c r="D1281" s="709" t="s">
        <v>184</v>
      </c>
      <c r="H1281" s="488"/>
      <c r="K1281" s="591" t="s">
        <v>298</v>
      </c>
      <c r="L1281" s="591"/>
      <c r="M1281" s="591"/>
      <c r="N1281" s="591"/>
      <c r="O1281" s="485" t="str">
        <f>D1282</f>
        <v>m'</v>
      </c>
      <c r="P1281" s="636">
        <f>K1299</f>
        <v>50326.36</v>
      </c>
      <c r="Q1281" s="593">
        <f>L1297</f>
        <v>0.93014280865931875</v>
      </c>
      <c r="R1281" s="484">
        <f>N1297</f>
        <v>41795.269499999995</v>
      </c>
      <c r="S1281" s="594"/>
      <c r="T1281" s="484"/>
      <c r="U1281" s="593"/>
    </row>
    <row r="1282" spans="2:21" s="485" customFormat="1" ht="14.1" hidden="1" customHeight="1">
      <c r="B1282" s="951"/>
      <c r="C1282" s="488"/>
      <c r="D1282" s="485" t="s">
        <v>32</v>
      </c>
      <c r="H1282" s="488"/>
      <c r="Q1282" s="595"/>
      <c r="R1282" s="484"/>
      <c r="S1282" s="595"/>
      <c r="T1282" s="595"/>
      <c r="U1282" s="595"/>
    </row>
    <row r="1283" spans="2:21" s="485" customFormat="1" ht="14.1" hidden="1" customHeight="1">
      <c r="B1283" s="951"/>
      <c r="C1283" s="488"/>
      <c r="H1283" s="488"/>
      <c r="Q1283" s="595"/>
      <c r="R1283" s="484"/>
      <c r="S1283" s="595"/>
      <c r="T1283" s="595"/>
      <c r="U1283" s="595"/>
    </row>
    <row r="1284" spans="2:21" s="485" customFormat="1" ht="14.1" hidden="1" customHeight="1">
      <c r="B1284" s="951"/>
      <c r="C1284" s="596"/>
      <c r="D1284" s="977" t="s">
        <v>55</v>
      </c>
      <c r="E1284" s="978"/>
      <c r="F1284" s="597"/>
      <c r="G1284" s="981" t="s">
        <v>56</v>
      </c>
      <c r="H1284" s="981" t="s">
        <v>57</v>
      </c>
      <c r="I1284" s="596" t="s">
        <v>58</v>
      </c>
      <c r="J1284" s="596" t="s">
        <v>59</v>
      </c>
      <c r="K1284" s="596" t="s">
        <v>102</v>
      </c>
      <c r="L1284" s="596" t="s">
        <v>418</v>
      </c>
      <c r="M1284" s="596" t="s">
        <v>419</v>
      </c>
      <c r="N1284" s="596" t="s">
        <v>59</v>
      </c>
      <c r="Q1284" s="595"/>
      <c r="R1284" s="484"/>
      <c r="S1284" s="595"/>
      <c r="T1284" s="595"/>
      <c r="U1284" s="595"/>
    </row>
    <row r="1285" spans="2:21" s="485" customFormat="1" ht="14.1" hidden="1" customHeight="1">
      <c r="B1285" s="951"/>
      <c r="C1285" s="598" t="s">
        <v>227</v>
      </c>
      <c r="D1285" s="979"/>
      <c r="E1285" s="980"/>
      <c r="F1285" s="599"/>
      <c r="G1285" s="982"/>
      <c r="H1285" s="982"/>
      <c r="I1285" s="598" t="s">
        <v>60</v>
      </c>
      <c r="J1285" s="598" t="s">
        <v>61</v>
      </c>
      <c r="K1285" s="598" t="s">
        <v>61</v>
      </c>
      <c r="L1285" s="598" t="s">
        <v>421</v>
      </c>
      <c r="M1285" s="598"/>
      <c r="N1285" s="598" t="s">
        <v>423</v>
      </c>
      <c r="Q1285" s="595"/>
      <c r="R1285" s="484"/>
      <c r="S1285" s="595"/>
      <c r="T1285" s="595"/>
      <c r="U1285" s="595"/>
    </row>
    <row r="1286" spans="2:21" s="485" customFormat="1" ht="14.1" hidden="1" customHeight="1">
      <c r="B1286" s="951"/>
      <c r="C1286" s="600"/>
      <c r="D1286" s="969"/>
      <c r="E1286" s="970"/>
      <c r="F1286" s="601"/>
      <c r="G1286" s="973"/>
      <c r="H1286" s="973"/>
      <c r="I1286" s="600" t="s">
        <v>61</v>
      </c>
      <c r="J1286" s="602"/>
      <c r="K1286" s="602"/>
      <c r="L1286" s="602"/>
      <c r="M1286" s="602"/>
      <c r="N1286" s="600" t="s">
        <v>61</v>
      </c>
      <c r="Q1286" s="595"/>
      <c r="R1286" s="484"/>
      <c r="S1286" s="595"/>
      <c r="T1286" s="595"/>
      <c r="U1286" s="595"/>
    </row>
    <row r="1287" spans="2:21" s="485" customFormat="1" ht="14.1" hidden="1" customHeight="1">
      <c r="B1287" s="951"/>
      <c r="C1287" s="596" t="s">
        <v>213</v>
      </c>
      <c r="D1287" s="603" t="s">
        <v>62</v>
      </c>
      <c r="E1287" s="710" t="s">
        <v>153</v>
      </c>
      <c r="F1287" s="710"/>
      <c r="G1287" s="605" t="s">
        <v>83</v>
      </c>
      <c r="H1287" s="711">
        <v>1.2</v>
      </c>
      <c r="I1287" s="491">
        <f>'UPH-TNG'!$I$114/4</f>
        <v>19475</v>
      </c>
      <c r="J1287" s="491">
        <f>ROUND(H1287*I1287,2)</f>
        <v>23370</v>
      </c>
      <c r="K1287" s="492"/>
      <c r="L1287" s="501">
        <f>$L$1228</f>
        <v>0.93859999999999999</v>
      </c>
      <c r="M1287" s="494" t="s">
        <v>429</v>
      </c>
      <c r="N1287" s="491">
        <f t="shared" ref="N1287:N1296" si="81">L1287*J1287</f>
        <v>21935.081999999999</v>
      </c>
      <c r="Q1287" s="595"/>
      <c r="R1287" s="484"/>
      <c r="S1287" s="595"/>
      <c r="T1287" s="595"/>
      <c r="U1287" s="595"/>
    </row>
    <row r="1288" spans="2:21" s="485" customFormat="1" ht="14.1" hidden="1" customHeight="1">
      <c r="B1288" s="951"/>
      <c r="C1288" s="598"/>
      <c r="D1288" s="607"/>
      <c r="E1288" s="710" t="s">
        <v>130</v>
      </c>
      <c r="F1288" s="710"/>
      <c r="G1288" s="605" t="s">
        <v>45</v>
      </c>
      <c r="H1288" s="711">
        <v>1</v>
      </c>
      <c r="I1288" s="491">
        <f>I1287*0.35</f>
        <v>6816.25</v>
      </c>
      <c r="J1288" s="491">
        <f>ROUND(H1288*I1288,2)</f>
        <v>6816.25</v>
      </c>
      <c r="K1288" s="511"/>
      <c r="L1288" s="501">
        <v>0.75</v>
      </c>
      <c r="M1288" s="494" t="s">
        <v>430</v>
      </c>
      <c r="N1288" s="491">
        <f t="shared" si="81"/>
        <v>5112.1875</v>
      </c>
      <c r="Q1288" s="595"/>
      <c r="R1288" s="484"/>
      <c r="S1288" s="595"/>
      <c r="T1288" s="595"/>
      <c r="U1288" s="595"/>
    </row>
    <row r="1289" spans="2:21" s="485" customFormat="1" ht="14.1" hidden="1" customHeight="1">
      <c r="B1289" s="951"/>
      <c r="C1289" s="600"/>
      <c r="D1289" s="607"/>
      <c r="E1289" s="712" t="s">
        <v>156</v>
      </c>
      <c r="F1289" s="713"/>
      <c r="G1289" s="610"/>
      <c r="H1289" s="714"/>
      <c r="I1289" s="504"/>
      <c r="J1289" s="495"/>
      <c r="K1289" s="491">
        <f>SUM(J1287:J1288)</f>
        <v>30186.25</v>
      </c>
      <c r="L1289" s="493"/>
      <c r="M1289" s="494"/>
      <c r="N1289" s="491">
        <f t="shared" si="81"/>
        <v>0</v>
      </c>
      <c r="Q1289" s="595"/>
      <c r="R1289" s="484"/>
      <c r="S1289" s="595"/>
      <c r="T1289" s="595"/>
      <c r="U1289" s="595"/>
    </row>
    <row r="1290" spans="2:21" s="485" customFormat="1" ht="14.1" hidden="1" customHeight="1">
      <c r="B1290" s="951"/>
      <c r="C1290" s="596" t="s">
        <v>214</v>
      </c>
      <c r="D1290" s="603" t="s">
        <v>63</v>
      </c>
      <c r="E1290" s="710" t="s">
        <v>64</v>
      </c>
      <c r="F1290" s="710"/>
      <c r="G1290" s="605" t="s">
        <v>66</v>
      </c>
      <c r="H1290" s="711">
        <v>5.3999999999999999E-2</v>
      </c>
      <c r="I1290" s="491">
        <f>'UPH-TNG'!$I$15</f>
        <v>92000</v>
      </c>
      <c r="J1290" s="491">
        <f>ROUND(H1290*I1290,2)</f>
        <v>4968</v>
      </c>
      <c r="K1290" s="492"/>
      <c r="L1290" s="493">
        <v>1</v>
      </c>
      <c r="M1290" s="493" t="s">
        <v>422</v>
      </c>
      <c r="N1290" s="491">
        <f t="shared" si="81"/>
        <v>4968</v>
      </c>
      <c r="Q1290" s="595"/>
      <c r="R1290" s="484"/>
      <c r="S1290" s="595"/>
      <c r="T1290" s="595"/>
      <c r="U1290" s="595"/>
    </row>
    <row r="1291" spans="2:21" s="485" customFormat="1" ht="14.1" hidden="1" customHeight="1">
      <c r="B1291" s="951"/>
      <c r="C1291" s="598"/>
      <c r="D1291" s="607"/>
      <c r="E1291" s="710" t="s">
        <v>125</v>
      </c>
      <c r="F1291" s="710"/>
      <c r="G1291" s="605" t="s">
        <v>66</v>
      </c>
      <c r="H1291" s="711">
        <v>0.09</v>
      </c>
      <c r="I1291" s="491">
        <f>'UPH-TNG'!$I$21</f>
        <v>95000</v>
      </c>
      <c r="J1291" s="491">
        <f>ROUND(H1291*I1291,2)</f>
        <v>8550</v>
      </c>
      <c r="K1291" s="496"/>
      <c r="L1291" s="493">
        <v>1</v>
      </c>
      <c r="M1291" s="493" t="s">
        <v>422</v>
      </c>
      <c r="N1291" s="491">
        <f t="shared" si="81"/>
        <v>8550</v>
      </c>
      <c r="Q1291" s="595"/>
      <c r="R1291" s="484"/>
      <c r="S1291" s="595"/>
      <c r="T1291" s="595"/>
      <c r="U1291" s="595"/>
    </row>
    <row r="1292" spans="2:21" s="485" customFormat="1" ht="14.1" hidden="1" customHeight="1">
      <c r="B1292" s="951"/>
      <c r="C1292" s="598"/>
      <c r="D1292" s="607"/>
      <c r="E1292" s="710" t="s">
        <v>124</v>
      </c>
      <c r="F1292" s="710"/>
      <c r="G1292" s="605" t="s">
        <v>66</v>
      </c>
      <c r="H1292" s="711">
        <v>8.9999999999999993E-3</v>
      </c>
      <c r="I1292" s="491">
        <f>'UPH-TNG'!$I$16</f>
        <v>104000</v>
      </c>
      <c r="J1292" s="491">
        <f>ROUND(H1292*I1292,2)</f>
        <v>936</v>
      </c>
      <c r="K1292" s="496"/>
      <c r="L1292" s="493">
        <v>1</v>
      </c>
      <c r="M1292" s="493" t="s">
        <v>422</v>
      </c>
      <c r="N1292" s="491">
        <f t="shared" si="81"/>
        <v>936</v>
      </c>
      <c r="Q1292" s="595"/>
      <c r="R1292" s="484"/>
      <c r="S1292" s="595"/>
      <c r="T1292" s="595"/>
      <c r="U1292" s="595"/>
    </row>
    <row r="1293" spans="2:21" s="485" customFormat="1" ht="14.1" hidden="1" customHeight="1">
      <c r="B1293" s="951"/>
      <c r="C1293" s="598"/>
      <c r="D1293" s="607"/>
      <c r="E1293" s="710" t="s">
        <v>65</v>
      </c>
      <c r="F1293" s="710"/>
      <c r="G1293" s="605" t="s">
        <v>66</v>
      </c>
      <c r="H1293" s="716">
        <v>3.0000000000000001E-3</v>
      </c>
      <c r="I1293" s="491">
        <f>'UPH-TNG'!$I$20</f>
        <v>98000</v>
      </c>
      <c r="J1293" s="491">
        <f>ROUND(H1293*I1293,2)</f>
        <v>294</v>
      </c>
      <c r="K1293" s="607"/>
      <c r="L1293" s="493">
        <v>1</v>
      </c>
      <c r="M1293" s="493" t="s">
        <v>422</v>
      </c>
      <c r="N1293" s="491">
        <f t="shared" si="81"/>
        <v>294</v>
      </c>
      <c r="Q1293" s="595"/>
      <c r="R1293" s="484"/>
      <c r="S1293" s="595"/>
      <c r="T1293" s="595"/>
      <c r="U1293" s="595"/>
    </row>
    <row r="1294" spans="2:21" s="485" customFormat="1" ht="14.1" hidden="1" customHeight="1">
      <c r="B1294" s="951"/>
      <c r="C1294" s="600"/>
      <c r="D1294" s="602"/>
      <c r="E1294" s="612"/>
      <c r="F1294" s="613"/>
      <c r="G1294" s="610"/>
      <c r="H1294" s="614"/>
      <c r="I1294" s="504"/>
      <c r="J1294" s="495"/>
      <c r="K1294" s="494">
        <f>SUM(J1290:J1293)</f>
        <v>14748</v>
      </c>
      <c r="L1294" s="493"/>
      <c r="M1294" s="494"/>
      <c r="N1294" s="491">
        <f t="shared" si="81"/>
        <v>0</v>
      </c>
      <c r="Q1294" s="595"/>
      <c r="R1294" s="484"/>
      <c r="S1294" s="595"/>
      <c r="T1294" s="595"/>
      <c r="U1294" s="595"/>
    </row>
    <row r="1295" spans="2:21" s="485" customFormat="1" ht="14.1" hidden="1" customHeight="1">
      <c r="B1295" s="951"/>
      <c r="C1295" s="596" t="s">
        <v>215</v>
      </c>
      <c r="D1295" s="603" t="s">
        <v>212</v>
      </c>
      <c r="E1295" s="615"/>
      <c r="F1295" s="615"/>
      <c r="G1295" s="605"/>
      <c r="H1295" s="616"/>
      <c r="I1295" s="617"/>
      <c r="J1295" s="491"/>
      <c r="K1295" s="492"/>
      <c r="L1295" s="493"/>
      <c r="M1295" s="494"/>
      <c r="N1295" s="491">
        <f t="shared" si="81"/>
        <v>0</v>
      </c>
      <c r="Q1295" s="595"/>
      <c r="R1295" s="484"/>
      <c r="S1295" s="595"/>
      <c r="T1295" s="595"/>
      <c r="U1295" s="595"/>
    </row>
    <row r="1296" spans="2:21" s="485" customFormat="1" ht="14.1" hidden="1" customHeight="1">
      <c r="B1296" s="951"/>
      <c r="C1296" s="600"/>
      <c r="D1296" s="602"/>
      <c r="E1296" s="612"/>
      <c r="F1296" s="613"/>
      <c r="G1296" s="610"/>
      <c r="H1296" s="614"/>
      <c r="I1296" s="618"/>
      <c r="J1296" s="495"/>
      <c r="K1296" s="494">
        <f>SUM(J1295:J1295)</f>
        <v>0</v>
      </c>
      <c r="L1296" s="493"/>
      <c r="M1296" s="494"/>
      <c r="N1296" s="491">
        <f t="shared" si="81"/>
        <v>0</v>
      </c>
      <c r="Q1296" s="595"/>
      <c r="R1296" s="484"/>
      <c r="S1296" s="595"/>
      <c r="T1296" s="595"/>
      <c r="U1296" s="595"/>
    </row>
    <row r="1297" spans="2:21" s="485" customFormat="1" ht="14.1" hidden="1" customHeight="1">
      <c r="B1297" s="951"/>
      <c r="C1297" s="605" t="s">
        <v>216</v>
      </c>
      <c r="D1297" s="619" t="s">
        <v>219</v>
      </c>
      <c r="E1297" s="613"/>
      <c r="F1297" s="613"/>
      <c r="G1297" s="610"/>
      <c r="H1297" s="614"/>
      <c r="I1297" s="618"/>
      <c r="J1297" s="497" t="s">
        <v>220</v>
      </c>
      <c r="K1297" s="494">
        <f>K1289+K1294+K1296</f>
        <v>44934.25</v>
      </c>
      <c r="L1297" s="620">
        <f>N1297/K1297</f>
        <v>0.93014280865931875</v>
      </c>
      <c r="M1297" s="497"/>
      <c r="N1297" s="498">
        <f>SUM(N1286:N1296)</f>
        <v>41795.269499999995</v>
      </c>
      <c r="Q1297" s="595"/>
      <c r="R1297" s="484"/>
      <c r="S1297" s="595"/>
      <c r="T1297" s="595"/>
      <c r="U1297" s="595"/>
    </row>
    <row r="1298" spans="2:21" s="485" customFormat="1" ht="14.1" hidden="1" customHeight="1">
      <c r="B1298" s="951"/>
      <c r="C1298" s="605" t="s">
        <v>217</v>
      </c>
      <c r="D1298" s="619" t="s">
        <v>221</v>
      </c>
      <c r="E1298" s="613"/>
      <c r="F1298" s="499">
        <f>$F$48</f>
        <v>0.1</v>
      </c>
      <c r="G1298" s="605" t="s">
        <v>168</v>
      </c>
      <c r="H1298" s="499">
        <f>$H$48</f>
        <v>0.02</v>
      </c>
      <c r="I1298" s="621" t="s">
        <v>167</v>
      </c>
      <c r="J1298" s="494" t="s">
        <v>216</v>
      </c>
      <c r="K1298" s="500">
        <f>ROUND((K1297*(F1298+H1298)),2)</f>
        <v>5392.11</v>
      </c>
      <c r="L1298" s="494"/>
      <c r="M1298" s="494"/>
      <c r="N1298" s="494"/>
      <c r="Q1298" s="595"/>
      <c r="R1298" s="484"/>
      <c r="S1298" s="595"/>
      <c r="T1298" s="595"/>
      <c r="U1298" s="595"/>
    </row>
    <row r="1299" spans="2:21" s="485" customFormat="1" ht="14.1" hidden="1" customHeight="1">
      <c r="B1299" s="951"/>
      <c r="C1299" s="622" t="s">
        <v>222</v>
      </c>
      <c r="D1299" s="623" t="s">
        <v>76</v>
      </c>
      <c r="E1299" s="624"/>
      <c r="F1299" s="624"/>
      <c r="G1299" s="624"/>
      <c r="H1299" s="625"/>
      <c r="I1299" s="624"/>
      <c r="J1299" s="626" t="s">
        <v>226</v>
      </c>
      <c r="K1299" s="627">
        <f>SUM(K1297:K1298)</f>
        <v>50326.36</v>
      </c>
      <c r="L1299" s="620"/>
      <c r="M1299" s="626"/>
      <c r="N1299" s="635"/>
      <c r="Q1299" s="595"/>
      <c r="R1299" s="484"/>
      <c r="S1299" s="595"/>
      <c r="T1299" s="595"/>
      <c r="U1299" s="595"/>
    </row>
    <row r="1300" spans="2:21" hidden="1">
      <c r="Q1300" s="595"/>
      <c r="R1300" s="484"/>
      <c r="S1300" s="595"/>
      <c r="T1300" s="595"/>
      <c r="U1300" s="595"/>
    </row>
    <row r="1301" spans="2:21" s="485" customFormat="1" ht="14.1" hidden="1" customHeight="1">
      <c r="B1301" s="951">
        <f>B1281+1</f>
        <v>66</v>
      </c>
      <c r="C1301" s="488"/>
      <c r="D1301" s="709" t="s">
        <v>185</v>
      </c>
      <c r="H1301" s="488"/>
      <c r="K1301" s="591" t="s">
        <v>275</v>
      </c>
      <c r="L1301" s="591"/>
      <c r="M1301" s="591"/>
      <c r="N1301" s="591"/>
      <c r="O1301" s="485" t="str">
        <f>D1302</f>
        <v>m'</v>
      </c>
      <c r="P1301" s="636">
        <f>K1318</f>
        <v>85870.959999999992</v>
      </c>
      <c r="Q1301" s="593">
        <f>L1316</f>
        <v>0.91601540357764721</v>
      </c>
      <c r="R1301" s="484">
        <f>N1316</f>
        <v>70231.358999999997</v>
      </c>
      <c r="S1301" s="594"/>
      <c r="T1301" s="484"/>
      <c r="U1301" s="593"/>
    </row>
    <row r="1302" spans="2:21" s="485" customFormat="1" ht="14.1" hidden="1" customHeight="1">
      <c r="B1302" s="951"/>
      <c r="C1302" s="488"/>
      <c r="D1302" s="485" t="s">
        <v>32</v>
      </c>
      <c r="H1302" s="488"/>
      <c r="Q1302" s="595"/>
      <c r="R1302" s="484"/>
      <c r="S1302" s="595"/>
      <c r="T1302" s="595"/>
      <c r="U1302" s="595"/>
    </row>
    <row r="1303" spans="2:21" s="485" customFormat="1" ht="14.1" hidden="1" customHeight="1">
      <c r="B1303" s="951"/>
      <c r="C1303" s="596"/>
      <c r="D1303" s="977" t="s">
        <v>55</v>
      </c>
      <c r="E1303" s="978"/>
      <c r="F1303" s="597"/>
      <c r="G1303" s="981" t="s">
        <v>56</v>
      </c>
      <c r="H1303" s="981" t="s">
        <v>57</v>
      </c>
      <c r="I1303" s="596" t="s">
        <v>58</v>
      </c>
      <c r="J1303" s="596" t="s">
        <v>59</v>
      </c>
      <c r="K1303" s="596" t="s">
        <v>102</v>
      </c>
      <c r="L1303" s="596" t="s">
        <v>418</v>
      </c>
      <c r="M1303" s="596" t="s">
        <v>419</v>
      </c>
      <c r="N1303" s="596" t="s">
        <v>59</v>
      </c>
      <c r="Q1303" s="595"/>
      <c r="R1303" s="484"/>
      <c r="S1303" s="595"/>
      <c r="T1303" s="595"/>
      <c r="U1303" s="595"/>
    </row>
    <row r="1304" spans="2:21" s="485" customFormat="1" ht="14.1" hidden="1" customHeight="1">
      <c r="B1304" s="951"/>
      <c r="C1304" s="598" t="s">
        <v>227</v>
      </c>
      <c r="D1304" s="979"/>
      <c r="E1304" s="980"/>
      <c r="F1304" s="599"/>
      <c r="G1304" s="982"/>
      <c r="H1304" s="982"/>
      <c r="I1304" s="598" t="s">
        <v>60</v>
      </c>
      <c r="J1304" s="598" t="s">
        <v>61</v>
      </c>
      <c r="K1304" s="598" t="s">
        <v>61</v>
      </c>
      <c r="L1304" s="598" t="s">
        <v>421</v>
      </c>
      <c r="M1304" s="598"/>
      <c r="N1304" s="598" t="s">
        <v>423</v>
      </c>
      <c r="Q1304" s="595"/>
      <c r="R1304" s="484"/>
      <c r="S1304" s="595"/>
      <c r="T1304" s="595"/>
      <c r="U1304" s="595"/>
    </row>
    <row r="1305" spans="2:21" s="485" customFormat="1" ht="14.1" hidden="1" customHeight="1">
      <c r="B1305" s="951"/>
      <c r="C1305" s="600"/>
      <c r="D1305" s="969"/>
      <c r="E1305" s="970"/>
      <c r="F1305" s="601"/>
      <c r="G1305" s="973"/>
      <c r="H1305" s="973"/>
      <c r="I1305" s="600" t="s">
        <v>61</v>
      </c>
      <c r="J1305" s="602"/>
      <c r="K1305" s="602"/>
      <c r="L1305" s="602"/>
      <c r="M1305" s="602"/>
      <c r="N1305" s="600" t="s">
        <v>61</v>
      </c>
      <c r="Q1305" s="595"/>
      <c r="R1305" s="484"/>
      <c r="S1305" s="595"/>
      <c r="T1305" s="595"/>
      <c r="U1305" s="595"/>
    </row>
    <row r="1306" spans="2:21" s="485" customFormat="1" ht="14.1" hidden="1" customHeight="1">
      <c r="B1306" s="951"/>
      <c r="C1306" s="596" t="s">
        <v>213</v>
      </c>
      <c r="D1306" s="603" t="s">
        <v>62</v>
      </c>
      <c r="E1306" s="710" t="s">
        <v>154</v>
      </c>
      <c r="F1306" s="710"/>
      <c r="G1306" s="605" t="s">
        <v>83</v>
      </c>
      <c r="H1306" s="711">
        <v>1.2</v>
      </c>
      <c r="I1306" s="491">
        <f>'UPH-TNG'!$I$115/4</f>
        <v>39950</v>
      </c>
      <c r="J1306" s="491">
        <f>ROUND(H1306*I1306,2)</f>
        <v>47940</v>
      </c>
      <c r="K1306" s="492"/>
      <c r="L1306" s="501">
        <f>$L$1228</f>
        <v>0.93859999999999999</v>
      </c>
      <c r="M1306" s="494" t="s">
        <v>429</v>
      </c>
      <c r="N1306" s="491">
        <f t="shared" ref="N1306:N1315" si="82">L1306*J1306</f>
        <v>44996.483999999997</v>
      </c>
      <c r="Q1306" s="595"/>
      <c r="R1306" s="484"/>
      <c r="S1306" s="595"/>
      <c r="T1306" s="595"/>
      <c r="U1306" s="595"/>
    </row>
    <row r="1307" spans="2:21" s="485" customFormat="1" ht="14.1" hidden="1" customHeight="1">
      <c r="B1307" s="951"/>
      <c r="C1307" s="598"/>
      <c r="D1307" s="607"/>
      <c r="E1307" s="710" t="s">
        <v>130</v>
      </c>
      <c r="F1307" s="710"/>
      <c r="G1307" s="605" t="s">
        <v>45</v>
      </c>
      <c r="H1307" s="711">
        <v>1</v>
      </c>
      <c r="I1307" s="491">
        <f>I1306*0.35</f>
        <v>13982.5</v>
      </c>
      <c r="J1307" s="491">
        <f>ROUND(H1307*I1307,2)</f>
        <v>13982.5</v>
      </c>
      <c r="K1307" s="511"/>
      <c r="L1307" s="501">
        <v>0.75</v>
      </c>
      <c r="M1307" s="494" t="s">
        <v>430</v>
      </c>
      <c r="N1307" s="491">
        <f t="shared" si="82"/>
        <v>10486.875</v>
      </c>
      <c r="Q1307" s="595"/>
      <c r="R1307" s="484"/>
      <c r="S1307" s="595"/>
      <c r="T1307" s="595"/>
      <c r="U1307" s="595"/>
    </row>
    <row r="1308" spans="2:21" s="485" customFormat="1" ht="14.1" hidden="1" customHeight="1">
      <c r="B1308" s="951"/>
      <c r="C1308" s="600"/>
      <c r="D1308" s="607"/>
      <c r="E1308" s="712" t="s">
        <v>156</v>
      </c>
      <c r="F1308" s="713"/>
      <c r="G1308" s="610"/>
      <c r="H1308" s="714"/>
      <c r="I1308" s="504"/>
      <c r="J1308" s="495"/>
      <c r="K1308" s="491">
        <f>SUM(J1306:J1307)</f>
        <v>61922.5</v>
      </c>
      <c r="L1308" s="493"/>
      <c r="M1308" s="494"/>
      <c r="N1308" s="491">
        <f t="shared" si="82"/>
        <v>0</v>
      </c>
      <c r="Q1308" s="595"/>
      <c r="R1308" s="484"/>
      <c r="S1308" s="595"/>
      <c r="T1308" s="595"/>
      <c r="U1308" s="595"/>
    </row>
    <row r="1309" spans="2:21" s="485" customFormat="1" ht="14.1" hidden="1" customHeight="1">
      <c r="B1309" s="951"/>
      <c r="C1309" s="596" t="s">
        <v>214</v>
      </c>
      <c r="D1309" s="603" t="s">
        <v>63</v>
      </c>
      <c r="E1309" s="710" t="s">
        <v>64</v>
      </c>
      <c r="F1309" s="710"/>
      <c r="G1309" s="605" t="s">
        <v>66</v>
      </c>
      <c r="H1309" s="711">
        <v>5.3999999999999999E-2</v>
      </c>
      <c r="I1309" s="491">
        <f>'UPH-TNG'!$I$15</f>
        <v>92000</v>
      </c>
      <c r="J1309" s="491">
        <f>ROUND(H1309*I1309,2)</f>
        <v>4968</v>
      </c>
      <c r="K1309" s="492"/>
      <c r="L1309" s="493">
        <v>1</v>
      </c>
      <c r="M1309" s="493" t="s">
        <v>422</v>
      </c>
      <c r="N1309" s="491">
        <f t="shared" si="82"/>
        <v>4968</v>
      </c>
      <c r="Q1309" s="595"/>
      <c r="R1309" s="484"/>
      <c r="S1309" s="595"/>
      <c r="T1309" s="595"/>
      <c r="U1309" s="595"/>
    </row>
    <row r="1310" spans="2:21" s="485" customFormat="1" ht="14.1" hidden="1" customHeight="1">
      <c r="B1310" s="951"/>
      <c r="C1310" s="598"/>
      <c r="D1310" s="607"/>
      <c r="E1310" s="710" t="s">
        <v>125</v>
      </c>
      <c r="F1310" s="710"/>
      <c r="G1310" s="605" t="s">
        <v>66</v>
      </c>
      <c r="H1310" s="711">
        <v>0.09</v>
      </c>
      <c r="I1310" s="491">
        <f>'UPH-TNG'!$I$21</f>
        <v>95000</v>
      </c>
      <c r="J1310" s="491">
        <f>ROUND(H1310*I1310,2)</f>
        <v>8550</v>
      </c>
      <c r="K1310" s="496"/>
      <c r="L1310" s="493">
        <v>1</v>
      </c>
      <c r="M1310" s="493" t="s">
        <v>422</v>
      </c>
      <c r="N1310" s="491">
        <f t="shared" si="82"/>
        <v>8550</v>
      </c>
      <c r="Q1310" s="595"/>
      <c r="R1310" s="484"/>
      <c r="S1310" s="595"/>
      <c r="T1310" s="595"/>
      <c r="U1310" s="595"/>
    </row>
    <row r="1311" spans="2:21" s="485" customFormat="1" ht="14.1" hidden="1" customHeight="1">
      <c r="B1311" s="951"/>
      <c r="C1311" s="598"/>
      <c r="D1311" s="607"/>
      <c r="E1311" s="710" t="s">
        <v>124</v>
      </c>
      <c r="F1311" s="710"/>
      <c r="G1311" s="605" t="s">
        <v>66</v>
      </c>
      <c r="H1311" s="711">
        <v>9.0000000000000011E-3</v>
      </c>
      <c r="I1311" s="491">
        <f>'UPH-TNG'!$I$16</f>
        <v>104000</v>
      </c>
      <c r="J1311" s="491">
        <f>ROUND(H1311*I1311,2)</f>
        <v>936</v>
      </c>
      <c r="K1311" s="496"/>
      <c r="L1311" s="493">
        <v>1</v>
      </c>
      <c r="M1311" s="493" t="s">
        <v>422</v>
      </c>
      <c r="N1311" s="491">
        <f t="shared" si="82"/>
        <v>936</v>
      </c>
      <c r="Q1311" s="595"/>
      <c r="R1311" s="484"/>
      <c r="S1311" s="595"/>
      <c r="T1311" s="595"/>
      <c r="U1311" s="595"/>
    </row>
    <row r="1312" spans="2:21" s="485" customFormat="1" ht="14.1" hidden="1" customHeight="1">
      <c r="B1312" s="951"/>
      <c r="C1312" s="598"/>
      <c r="D1312" s="607"/>
      <c r="E1312" s="710" t="s">
        <v>65</v>
      </c>
      <c r="F1312" s="710"/>
      <c r="G1312" s="605" t="s">
        <v>66</v>
      </c>
      <c r="H1312" s="716">
        <v>3.0000000000000001E-3</v>
      </c>
      <c r="I1312" s="491">
        <f>'UPH-TNG'!$I$20</f>
        <v>98000</v>
      </c>
      <c r="J1312" s="491">
        <f>ROUND(H1312*I1312,2)</f>
        <v>294</v>
      </c>
      <c r="K1312" s="607"/>
      <c r="L1312" s="493">
        <v>1</v>
      </c>
      <c r="M1312" s="493" t="s">
        <v>422</v>
      </c>
      <c r="N1312" s="491">
        <f t="shared" si="82"/>
        <v>294</v>
      </c>
      <c r="Q1312" s="595"/>
      <c r="R1312" s="484"/>
      <c r="S1312" s="595"/>
      <c r="T1312" s="595"/>
      <c r="U1312" s="595"/>
    </row>
    <row r="1313" spans="2:21" s="485" customFormat="1" ht="14.1" hidden="1" customHeight="1">
      <c r="B1313" s="951"/>
      <c r="C1313" s="600"/>
      <c r="D1313" s="602"/>
      <c r="E1313" s="612"/>
      <c r="F1313" s="613"/>
      <c r="G1313" s="610"/>
      <c r="H1313" s="614"/>
      <c r="I1313" s="504"/>
      <c r="J1313" s="495"/>
      <c r="K1313" s="494">
        <f>SUM(J1309:J1312)</f>
        <v>14748</v>
      </c>
      <c r="L1313" s="493"/>
      <c r="M1313" s="494"/>
      <c r="N1313" s="491">
        <f t="shared" si="82"/>
        <v>0</v>
      </c>
      <c r="Q1313" s="595"/>
      <c r="R1313" s="484"/>
      <c r="S1313" s="595"/>
      <c r="T1313" s="595"/>
      <c r="U1313" s="595"/>
    </row>
    <row r="1314" spans="2:21" s="485" customFormat="1" ht="14.1" hidden="1" customHeight="1">
      <c r="B1314" s="951"/>
      <c r="C1314" s="596" t="s">
        <v>215</v>
      </c>
      <c r="D1314" s="603" t="s">
        <v>212</v>
      </c>
      <c r="E1314" s="615"/>
      <c r="F1314" s="615"/>
      <c r="G1314" s="605"/>
      <c r="H1314" s="616"/>
      <c r="I1314" s="617"/>
      <c r="J1314" s="491"/>
      <c r="K1314" s="492"/>
      <c r="L1314" s="493"/>
      <c r="M1314" s="494"/>
      <c r="N1314" s="491">
        <f t="shared" si="82"/>
        <v>0</v>
      </c>
      <c r="Q1314" s="595"/>
      <c r="R1314" s="484"/>
      <c r="S1314" s="595"/>
      <c r="T1314" s="595"/>
      <c r="U1314" s="595"/>
    </row>
    <row r="1315" spans="2:21" s="485" customFormat="1" ht="14.1" hidden="1" customHeight="1">
      <c r="B1315" s="951"/>
      <c r="C1315" s="600"/>
      <c r="D1315" s="602"/>
      <c r="E1315" s="612"/>
      <c r="F1315" s="613"/>
      <c r="G1315" s="610"/>
      <c r="H1315" s="614"/>
      <c r="I1315" s="618"/>
      <c r="J1315" s="495"/>
      <c r="K1315" s="494">
        <f>SUM(J1314:J1314)</f>
        <v>0</v>
      </c>
      <c r="L1315" s="493"/>
      <c r="M1315" s="494"/>
      <c r="N1315" s="491">
        <f t="shared" si="82"/>
        <v>0</v>
      </c>
      <c r="Q1315" s="595"/>
      <c r="R1315" s="484"/>
      <c r="S1315" s="595"/>
      <c r="T1315" s="595"/>
      <c r="U1315" s="595"/>
    </row>
    <row r="1316" spans="2:21" s="485" customFormat="1" ht="14.1" hidden="1" customHeight="1">
      <c r="B1316" s="951"/>
      <c r="C1316" s="605" t="s">
        <v>216</v>
      </c>
      <c r="D1316" s="619" t="s">
        <v>219</v>
      </c>
      <c r="E1316" s="613"/>
      <c r="F1316" s="613"/>
      <c r="G1316" s="610"/>
      <c r="H1316" s="614"/>
      <c r="I1316" s="618"/>
      <c r="J1316" s="497" t="s">
        <v>220</v>
      </c>
      <c r="K1316" s="494">
        <f>K1308+K1313+K1315</f>
        <v>76670.5</v>
      </c>
      <c r="L1316" s="620">
        <f>N1316/K1316</f>
        <v>0.91601540357764721</v>
      </c>
      <c r="M1316" s="497"/>
      <c r="N1316" s="498">
        <f>SUM(N1305:N1315)</f>
        <v>70231.358999999997</v>
      </c>
      <c r="Q1316" s="595"/>
      <c r="R1316" s="484"/>
      <c r="S1316" s="595"/>
      <c r="T1316" s="595"/>
      <c r="U1316" s="595"/>
    </row>
    <row r="1317" spans="2:21" s="485" customFormat="1" ht="14.1" hidden="1" customHeight="1">
      <c r="B1317" s="951"/>
      <c r="C1317" s="605" t="s">
        <v>217</v>
      </c>
      <c r="D1317" s="619" t="s">
        <v>221</v>
      </c>
      <c r="E1317" s="613"/>
      <c r="F1317" s="499">
        <f>$F$48</f>
        <v>0.1</v>
      </c>
      <c r="G1317" s="605" t="s">
        <v>168</v>
      </c>
      <c r="H1317" s="499">
        <f>$H$48</f>
        <v>0.02</v>
      </c>
      <c r="I1317" s="621" t="s">
        <v>167</v>
      </c>
      <c r="J1317" s="494" t="s">
        <v>216</v>
      </c>
      <c r="K1317" s="500">
        <f>ROUND((K1316*(F1317+H1317)),2)</f>
        <v>9200.4599999999991</v>
      </c>
      <c r="L1317" s="494"/>
      <c r="M1317" s="494"/>
      <c r="N1317" s="494"/>
      <c r="Q1317" s="595"/>
      <c r="R1317" s="484"/>
      <c r="S1317" s="595"/>
      <c r="T1317" s="595"/>
      <c r="U1317" s="595"/>
    </row>
    <row r="1318" spans="2:21" s="485" customFormat="1" ht="14.1" hidden="1" customHeight="1">
      <c r="B1318" s="951"/>
      <c r="C1318" s="622" t="s">
        <v>222</v>
      </c>
      <c r="D1318" s="623" t="s">
        <v>76</v>
      </c>
      <c r="E1318" s="624"/>
      <c r="F1318" s="624"/>
      <c r="G1318" s="624"/>
      <c r="H1318" s="625"/>
      <c r="I1318" s="624"/>
      <c r="J1318" s="626" t="s">
        <v>226</v>
      </c>
      <c r="K1318" s="627">
        <f>SUM(K1316:K1317)</f>
        <v>85870.959999999992</v>
      </c>
      <c r="L1318" s="620"/>
      <c r="M1318" s="626"/>
      <c r="N1318" s="635"/>
      <c r="Q1318" s="595"/>
      <c r="R1318" s="484"/>
      <c r="S1318" s="595"/>
      <c r="T1318" s="595"/>
      <c r="U1318" s="595"/>
    </row>
    <row r="1319" spans="2:21" s="485" customFormat="1" ht="14.1" hidden="1" customHeight="1">
      <c r="B1319" s="948"/>
      <c r="H1319" s="488"/>
      <c r="Q1319" s="595"/>
      <c r="R1319" s="484"/>
      <c r="S1319" s="595"/>
      <c r="T1319" s="595"/>
      <c r="U1319" s="595"/>
    </row>
    <row r="1320" spans="2:21" s="485" customFormat="1" ht="14.1" hidden="1" customHeight="1">
      <c r="B1320" s="951">
        <f>B1301+1</f>
        <v>67</v>
      </c>
      <c r="C1320" s="488"/>
      <c r="D1320" s="709" t="s">
        <v>277</v>
      </c>
      <c r="H1320" s="488"/>
      <c r="K1320" s="591" t="s">
        <v>276</v>
      </c>
      <c r="L1320" s="591"/>
      <c r="M1320" s="591"/>
      <c r="N1320" s="591"/>
      <c r="O1320" s="485" t="str">
        <f>D1321</f>
        <v>m'</v>
      </c>
      <c r="P1320" s="636">
        <f>K1337</f>
        <v>300745.76</v>
      </c>
      <c r="Q1320" s="593">
        <f>L1335</f>
        <v>0.90456080112318127</v>
      </c>
      <c r="R1320" s="484">
        <f>N1335</f>
        <v>242895.38</v>
      </c>
      <c r="S1320" s="594"/>
      <c r="T1320" s="484"/>
      <c r="U1320" s="593"/>
    </row>
    <row r="1321" spans="2:21" s="485" customFormat="1" ht="14.1" hidden="1" customHeight="1">
      <c r="B1321" s="951"/>
      <c r="C1321" s="488"/>
      <c r="D1321" s="485" t="s">
        <v>32</v>
      </c>
      <c r="H1321" s="488"/>
      <c r="Q1321" s="595"/>
      <c r="R1321" s="484"/>
      <c r="S1321" s="595"/>
      <c r="T1321" s="595"/>
      <c r="U1321" s="595"/>
    </row>
    <row r="1322" spans="2:21" s="485" customFormat="1" ht="14.1" hidden="1" customHeight="1">
      <c r="B1322" s="951"/>
      <c r="C1322" s="596"/>
      <c r="D1322" s="977" t="s">
        <v>55</v>
      </c>
      <c r="E1322" s="978"/>
      <c r="F1322" s="597"/>
      <c r="G1322" s="981" t="s">
        <v>56</v>
      </c>
      <c r="H1322" s="981" t="s">
        <v>57</v>
      </c>
      <c r="I1322" s="596" t="s">
        <v>58</v>
      </c>
      <c r="J1322" s="596" t="s">
        <v>59</v>
      </c>
      <c r="K1322" s="596" t="s">
        <v>102</v>
      </c>
      <c r="L1322" s="596" t="s">
        <v>418</v>
      </c>
      <c r="M1322" s="596" t="s">
        <v>419</v>
      </c>
      <c r="N1322" s="596" t="s">
        <v>59</v>
      </c>
      <c r="Q1322" s="595"/>
      <c r="R1322" s="484"/>
      <c r="S1322" s="595"/>
      <c r="T1322" s="595"/>
      <c r="U1322" s="595"/>
    </row>
    <row r="1323" spans="2:21" s="485" customFormat="1" ht="14.1" hidden="1" customHeight="1">
      <c r="B1323" s="951"/>
      <c r="C1323" s="598" t="s">
        <v>227</v>
      </c>
      <c r="D1323" s="979"/>
      <c r="E1323" s="980"/>
      <c r="F1323" s="599"/>
      <c r="G1323" s="982"/>
      <c r="H1323" s="982"/>
      <c r="I1323" s="598" t="s">
        <v>60</v>
      </c>
      <c r="J1323" s="598" t="s">
        <v>61</v>
      </c>
      <c r="K1323" s="598" t="s">
        <v>61</v>
      </c>
      <c r="L1323" s="598" t="s">
        <v>421</v>
      </c>
      <c r="M1323" s="598"/>
      <c r="N1323" s="598" t="s">
        <v>423</v>
      </c>
      <c r="Q1323" s="595"/>
      <c r="R1323" s="484"/>
      <c r="S1323" s="595"/>
      <c r="T1323" s="595"/>
      <c r="U1323" s="595"/>
    </row>
    <row r="1324" spans="2:21" s="485" customFormat="1" ht="14.1" hidden="1" customHeight="1">
      <c r="B1324" s="951"/>
      <c r="C1324" s="600"/>
      <c r="D1324" s="969"/>
      <c r="E1324" s="970"/>
      <c r="F1324" s="601"/>
      <c r="G1324" s="973"/>
      <c r="H1324" s="973"/>
      <c r="I1324" s="600" t="s">
        <v>61</v>
      </c>
      <c r="J1324" s="602"/>
      <c r="K1324" s="602"/>
      <c r="L1324" s="602"/>
      <c r="M1324" s="602"/>
      <c r="N1324" s="600" t="s">
        <v>61</v>
      </c>
      <c r="Q1324" s="595"/>
      <c r="R1324" s="484"/>
      <c r="S1324" s="595"/>
      <c r="T1324" s="595"/>
      <c r="U1324" s="595"/>
    </row>
    <row r="1325" spans="2:21" s="485" customFormat="1" ht="14.1" hidden="1" customHeight="1">
      <c r="B1325" s="951"/>
      <c r="C1325" s="596" t="s">
        <v>213</v>
      </c>
      <c r="D1325" s="603" t="s">
        <v>62</v>
      </c>
      <c r="E1325" s="710" t="s">
        <v>278</v>
      </c>
      <c r="F1325" s="710"/>
      <c r="G1325" s="605" t="s">
        <v>83</v>
      </c>
      <c r="H1325" s="711">
        <v>1.2</v>
      </c>
      <c r="I1325" s="491">
        <f>'UPH-TNG'!$I$116</f>
        <v>159000</v>
      </c>
      <c r="J1325" s="491">
        <f>ROUND(H1325*I1325,2)</f>
        <v>190800</v>
      </c>
      <c r="K1325" s="492"/>
      <c r="L1325" s="501">
        <f>$L$1228</f>
        <v>0.93859999999999999</v>
      </c>
      <c r="M1325" s="494" t="s">
        <v>429</v>
      </c>
      <c r="N1325" s="491">
        <f t="shared" ref="N1325:N1334" si="83">L1325*J1325</f>
        <v>179084.88</v>
      </c>
      <c r="Q1325" s="595"/>
      <c r="R1325" s="484"/>
      <c r="S1325" s="595"/>
      <c r="T1325" s="595"/>
      <c r="U1325" s="595"/>
    </row>
    <row r="1326" spans="2:21" s="485" customFormat="1" ht="14.1" hidden="1" customHeight="1">
      <c r="B1326" s="951"/>
      <c r="C1326" s="598"/>
      <c r="D1326" s="607"/>
      <c r="E1326" s="710" t="s">
        <v>130</v>
      </c>
      <c r="F1326" s="710"/>
      <c r="G1326" s="605" t="s">
        <v>45</v>
      </c>
      <c r="H1326" s="711">
        <v>1</v>
      </c>
      <c r="I1326" s="491">
        <f>I1325*0.35</f>
        <v>55650</v>
      </c>
      <c r="J1326" s="491">
        <f>ROUND(H1326*I1326,2)</f>
        <v>55650</v>
      </c>
      <c r="K1326" s="511"/>
      <c r="L1326" s="501">
        <v>0.75</v>
      </c>
      <c r="M1326" s="494" t="s">
        <v>430</v>
      </c>
      <c r="N1326" s="491">
        <f t="shared" si="83"/>
        <v>41737.5</v>
      </c>
      <c r="Q1326" s="595"/>
      <c r="R1326" s="484"/>
      <c r="S1326" s="595"/>
      <c r="T1326" s="595"/>
      <c r="U1326" s="595"/>
    </row>
    <row r="1327" spans="2:21" s="485" customFormat="1" ht="14.1" hidden="1" customHeight="1">
      <c r="B1327" s="951"/>
      <c r="C1327" s="600"/>
      <c r="D1327" s="607"/>
      <c r="E1327" s="712" t="s">
        <v>156</v>
      </c>
      <c r="F1327" s="713"/>
      <c r="G1327" s="610"/>
      <c r="H1327" s="714"/>
      <c r="I1327" s="504"/>
      <c r="J1327" s="495"/>
      <c r="K1327" s="491">
        <f>SUM(J1325:J1326)</f>
        <v>246450</v>
      </c>
      <c r="L1327" s="493"/>
      <c r="M1327" s="494"/>
      <c r="N1327" s="491">
        <f t="shared" si="83"/>
        <v>0</v>
      </c>
      <c r="Q1327" s="595"/>
      <c r="R1327" s="484"/>
      <c r="S1327" s="595"/>
      <c r="T1327" s="595"/>
      <c r="U1327" s="595"/>
    </row>
    <row r="1328" spans="2:21" s="485" customFormat="1" ht="14.1" hidden="1" customHeight="1">
      <c r="B1328" s="951"/>
      <c r="C1328" s="596" t="s">
        <v>214</v>
      </c>
      <c r="D1328" s="603" t="s">
        <v>63</v>
      </c>
      <c r="E1328" s="710" t="s">
        <v>64</v>
      </c>
      <c r="F1328" s="710"/>
      <c r="G1328" s="605" t="s">
        <v>66</v>
      </c>
      <c r="H1328" s="711">
        <v>8.1000000000000003E-2</v>
      </c>
      <c r="I1328" s="491">
        <f>'UPH-TNG'!$I$15</f>
        <v>92000</v>
      </c>
      <c r="J1328" s="491">
        <f>ROUND(H1328*I1328,2)</f>
        <v>7452</v>
      </c>
      <c r="K1328" s="492"/>
      <c r="L1328" s="493">
        <v>1</v>
      </c>
      <c r="M1328" s="493" t="s">
        <v>422</v>
      </c>
      <c r="N1328" s="491">
        <f t="shared" si="83"/>
        <v>7452</v>
      </c>
      <c r="Q1328" s="595"/>
      <c r="R1328" s="484"/>
      <c r="S1328" s="595"/>
      <c r="T1328" s="595"/>
      <c r="U1328" s="595"/>
    </row>
    <row r="1329" spans="2:21" s="485" customFormat="1" ht="14.1" hidden="1" customHeight="1">
      <c r="B1329" s="951"/>
      <c r="C1329" s="598"/>
      <c r="D1329" s="607"/>
      <c r="E1329" s="710" t="s">
        <v>125</v>
      </c>
      <c r="F1329" s="710"/>
      <c r="G1329" s="605" t="s">
        <v>66</v>
      </c>
      <c r="H1329" s="711">
        <v>0.13500000000000001</v>
      </c>
      <c r="I1329" s="491">
        <f>'UPH-TNG'!$I$21</f>
        <v>95000</v>
      </c>
      <c r="J1329" s="491">
        <f>ROUND(H1329*I1329,2)</f>
        <v>12825</v>
      </c>
      <c r="K1329" s="496"/>
      <c r="L1329" s="493">
        <v>1</v>
      </c>
      <c r="M1329" s="493" t="s">
        <v>422</v>
      </c>
      <c r="N1329" s="491">
        <f t="shared" si="83"/>
        <v>12825</v>
      </c>
      <c r="Q1329" s="595"/>
      <c r="R1329" s="484"/>
      <c r="S1329" s="595"/>
      <c r="T1329" s="595"/>
      <c r="U1329" s="595"/>
    </row>
    <row r="1330" spans="2:21" s="485" customFormat="1" ht="14.1" hidden="1" customHeight="1">
      <c r="B1330" s="951"/>
      <c r="C1330" s="598"/>
      <c r="D1330" s="607"/>
      <c r="E1330" s="710" t="s">
        <v>124</v>
      </c>
      <c r="F1330" s="710"/>
      <c r="G1330" s="605" t="s">
        <v>66</v>
      </c>
      <c r="H1330" s="711">
        <v>1.35E-2</v>
      </c>
      <c r="I1330" s="491">
        <f>'UPH-TNG'!$I$16</f>
        <v>104000</v>
      </c>
      <c r="J1330" s="491">
        <f>ROUND(H1330*I1330,2)</f>
        <v>1404</v>
      </c>
      <c r="K1330" s="496"/>
      <c r="L1330" s="493">
        <v>1</v>
      </c>
      <c r="M1330" s="493" t="s">
        <v>422</v>
      </c>
      <c r="N1330" s="491">
        <f t="shared" si="83"/>
        <v>1404</v>
      </c>
      <c r="Q1330" s="595"/>
      <c r="R1330" s="484"/>
      <c r="S1330" s="595"/>
      <c r="T1330" s="595"/>
      <c r="U1330" s="595"/>
    </row>
    <row r="1331" spans="2:21" s="485" customFormat="1" ht="14.1" hidden="1" customHeight="1">
      <c r="B1331" s="951"/>
      <c r="C1331" s="598"/>
      <c r="D1331" s="607"/>
      <c r="E1331" s="710" t="s">
        <v>65</v>
      </c>
      <c r="F1331" s="710"/>
      <c r="G1331" s="605" t="s">
        <v>66</v>
      </c>
      <c r="H1331" s="716">
        <v>4.0000000000000001E-3</v>
      </c>
      <c r="I1331" s="491">
        <f>'UPH-TNG'!$I$20</f>
        <v>98000</v>
      </c>
      <c r="J1331" s="491">
        <f>ROUND(H1331*I1331,2)</f>
        <v>392</v>
      </c>
      <c r="K1331" s="607"/>
      <c r="L1331" s="493">
        <v>1</v>
      </c>
      <c r="M1331" s="493" t="s">
        <v>422</v>
      </c>
      <c r="N1331" s="491">
        <f t="shared" si="83"/>
        <v>392</v>
      </c>
      <c r="Q1331" s="595"/>
      <c r="R1331" s="484"/>
      <c r="S1331" s="595"/>
      <c r="T1331" s="595"/>
      <c r="U1331" s="595"/>
    </row>
    <row r="1332" spans="2:21" s="485" customFormat="1" ht="14.1" hidden="1" customHeight="1">
      <c r="B1332" s="951"/>
      <c r="C1332" s="600"/>
      <c r="D1332" s="602"/>
      <c r="E1332" s="612"/>
      <c r="F1332" s="613"/>
      <c r="G1332" s="610"/>
      <c r="H1332" s="614"/>
      <c r="I1332" s="504"/>
      <c r="J1332" s="495"/>
      <c r="K1332" s="494">
        <f>SUM(J1328:J1331)</f>
        <v>22073</v>
      </c>
      <c r="L1332" s="493"/>
      <c r="M1332" s="494"/>
      <c r="N1332" s="491">
        <f t="shared" si="83"/>
        <v>0</v>
      </c>
      <c r="Q1332" s="595"/>
      <c r="R1332" s="484"/>
      <c r="S1332" s="595"/>
      <c r="T1332" s="595"/>
      <c r="U1332" s="595"/>
    </row>
    <row r="1333" spans="2:21" s="485" customFormat="1" ht="14.1" hidden="1" customHeight="1">
      <c r="B1333" s="951"/>
      <c r="C1333" s="596" t="s">
        <v>215</v>
      </c>
      <c r="D1333" s="603" t="s">
        <v>212</v>
      </c>
      <c r="E1333" s="615"/>
      <c r="F1333" s="615"/>
      <c r="G1333" s="605"/>
      <c r="H1333" s="616"/>
      <c r="I1333" s="617"/>
      <c r="J1333" s="491"/>
      <c r="K1333" s="492"/>
      <c r="L1333" s="493"/>
      <c r="M1333" s="494"/>
      <c r="N1333" s="491">
        <f t="shared" si="83"/>
        <v>0</v>
      </c>
      <c r="Q1333" s="595"/>
      <c r="R1333" s="484"/>
      <c r="S1333" s="595"/>
      <c r="T1333" s="595"/>
      <c r="U1333" s="595"/>
    </row>
    <row r="1334" spans="2:21" s="485" customFormat="1" ht="14.1" hidden="1" customHeight="1">
      <c r="B1334" s="951"/>
      <c r="C1334" s="600"/>
      <c r="D1334" s="602"/>
      <c r="E1334" s="612"/>
      <c r="F1334" s="613"/>
      <c r="G1334" s="610"/>
      <c r="H1334" s="614"/>
      <c r="I1334" s="618"/>
      <c r="J1334" s="495"/>
      <c r="K1334" s="494">
        <f>SUM(J1333:J1333)</f>
        <v>0</v>
      </c>
      <c r="L1334" s="493"/>
      <c r="M1334" s="494"/>
      <c r="N1334" s="491">
        <f t="shared" si="83"/>
        <v>0</v>
      </c>
      <c r="Q1334" s="595"/>
      <c r="R1334" s="484"/>
      <c r="S1334" s="595"/>
      <c r="T1334" s="595"/>
      <c r="U1334" s="595"/>
    </row>
    <row r="1335" spans="2:21" s="485" customFormat="1" ht="14.1" hidden="1" customHeight="1">
      <c r="B1335" s="951"/>
      <c r="C1335" s="605" t="s">
        <v>216</v>
      </c>
      <c r="D1335" s="619" t="s">
        <v>219</v>
      </c>
      <c r="E1335" s="613"/>
      <c r="F1335" s="613"/>
      <c r="G1335" s="610"/>
      <c r="H1335" s="614"/>
      <c r="I1335" s="618"/>
      <c r="J1335" s="497" t="s">
        <v>220</v>
      </c>
      <c r="K1335" s="494">
        <f>K1327+K1332+K1334</f>
        <v>268523</v>
      </c>
      <c r="L1335" s="620">
        <f>N1335/K1335</f>
        <v>0.90456080112318127</v>
      </c>
      <c r="M1335" s="497"/>
      <c r="N1335" s="498">
        <f>SUM(N1324:N1334)</f>
        <v>242895.38</v>
      </c>
      <c r="Q1335" s="595"/>
      <c r="R1335" s="484"/>
      <c r="S1335" s="595"/>
      <c r="T1335" s="595"/>
      <c r="U1335" s="595"/>
    </row>
    <row r="1336" spans="2:21" s="485" customFormat="1" ht="14.1" hidden="1" customHeight="1">
      <c r="B1336" s="951"/>
      <c r="C1336" s="605" t="s">
        <v>217</v>
      </c>
      <c r="D1336" s="619" t="s">
        <v>221</v>
      </c>
      <c r="E1336" s="613"/>
      <c r="F1336" s="499">
        <f>$F$48</f>
        <v>0.1</v>
      </c>
      <c r="G1336" s="605" t="s">
        <v>168</v>
      </c>
      <c r="H1336" s="499">
        <f>$H$48</f>
        <v>0.02</v>
      </c>
      <c r="I1336" s="621" t="s">
        <v>167</v>
      </c>
      <c r="J1336" s="494" t="s">
        <v>216</v>
      </c>
      <c r="K1336" s="500">
        <f>ROUND((K1335*(F1336+H1336)),2)</f>
        <v>32222.76</v>
      </c>
      <c r="L1336" s="494"/>
      <c r="M1336" s="494"/>
      <c r="N1336" s="494"/>
      <c r="Q1336" s="595"/>
      <c r="R1336" s="484"/>
      <c r="S1336" s="595"/>
      <c r="T1336" s="595"/>
      <c r="U1336" s="595"/>
    </row>
    <row r="1337" spans="2:21" s="485" customFormat="1" ht="14.1" hidden="1" customHeight="1">
      <c r="B1337" s="951"/>
      <c r="C1337" s="622" t="s">
        <v>222</v>
      </c>
      <c r="D1337" s="623" t="s">
        <v>76</v>
      </c>
      <c r="E1337" s="624"/>
      <c r="F1337" s="624"/>
      <c r="G1337" s="624"/>
      <c r="H1337" s="625"/>
      <c r="I1337" s="624"/>
      <c r="J1337" s="626" t="s">
        <v>226</v>
      </c>
      <c r="K1337" s="627">
        <f>SUM(K1335:K1336)</f>
        <v>300745.76</v>
      </c>
      <c r="L1337" s="620"/>
      <c r="M1337" s="626"/>
      <c r="N1337" s="635"/>
      <c r="Q1337" s="595"/>
      <c r="R1337" s="484"/>
      <c r="S1337" s="595"/>
      <c r="T1337" s="595"/>
      <c r="U1337" s="595"/>
    </row>
    <row r="1338" spans="2:21" s="485" customFormat="1" ht="14.1" hidden="1" customHeight="1">
      <c r="B1338" s="948"/>
      <c r="H1338" s="488"/>
      <c r="Q1338" s="595"/>
      <c r="R1338" s="484"/>
      <c r="S1338" s="595"/>
      <c r="T1338" s="595"/>
      <c r="U1338" s="595"/>
    </row>
    <row r="1339" spans="2:21" s="485" customFormat="1" ht="14.1" customHeight="1">
      <c r="B1339" s="951">
        <f>B1320+1</f>
        <v>68</v>
      </c>
      <c r="C1339" s="488"/>
      <c r="D1339" s="709" t="s">
        <v>186</v>
      </c>
      <c r="H1339" s="488"/>
      <c r="K1339" s="591" t="s">
        <v>252</v>
      </c>
      <c r="L1339" s="591"/>
      <c r="M1339" s="591"/>
      <c r="N1339" s="591"/>
      <c r="O1339" s="485" t="str">
        <f>D1340</f>
        <v>m'</v>
      </c>
      <c r="P1339" s="636">
        <f>K1356</f>
        <v>103964.28</v>
      </c>
      <c r="Q1339" s="593">
        <f>L1354</f>
        <v>0.92060397898201174</v>
      </c>
      <c r="R1339" s="484">
        <f>N1354</f>
        <v>85455.294499999989</v>
      </c>
      <c r="S1339" s="594"/>
      <c r="T1339" s="484"/>
      <c r="U1339" s="593"/>
    </row>
    <row r="1340" spans="2:21" s="485" customFormat="1" ht="14.1" customHeight="1">
      <c r="B1340" s="951"/>
      <c r="C1340" s="488"/>
      <c r="D1340" s="485" t="s">
        <v>32</v>
      </c>
      <c r="H1340" s="488"/>
      <c r="Q1340" s="595"/>
      <c r="R1340" s="484"/>
      <c r="S1340" s="595"/>
      <c r="T1340" s="595"/>
      <c r="U1340" s="595"/>
    </row>
    <row r="1341" spans="2:21" s="485" customFormat="1" ht="14.1" customHeight="1">
      <c r="B1341" s="951"/>
      <c r="C1341" s="596"/>
      <c r="D1341" s="977" t="s">
        <v>55</v>
      </c>
      <c r="E1341" s="978"/>
      <c r="F1341" s="597"/>
      <c r="G1341" s="981" t="s">
        <v>56</v>
      </c>
      <c r="H1341" s="981" t="s">
        <v>57</v>
      </c>
      <c r="I1341" s="596" t="s">
        <v>58</v>
      </c>
      <c r="J1341" s="596" t="s">
        <v>59</v>
      </c>
      <c r="K1341" s="596" t="s">
        <v>102</v>
      </c>
      <c r="L1341" s="596" t="s">
        <v>418</v>
      </c>
      <c r="M1341" s="596" t="s">
        <v>419</v>
      </c>
      <c r="N1341" s="596" t="s">
        <v>59</v>
      </c>
      <c r="Q1341" s="595"/>
      <c r="R1341" s="484"/>
      <c r="S1341" s="595"/>
      <c r="T1341" s="595"/>
      <c r="U1341" s="595"/>
    </row>
    <row r="1342" spans="2:21" s="485" customFormat="1" ht="14.1" customHeight="1">
      <c r="B1342" s="951"/>
      <c r="C1342" s="598" t="s">
        <v>227</v>
      </c>
      <c r="D1342" s="979"/>
      <c r="E1342" s="980"/>
      <c r="F1342" s="599"/>
      <c r="G1342" s="982"/>
      <c r="H1342" s="982"/>
      <c r="I1342" s="598" t="s">
        <v>60</v>
      </c>
      <c r="J1342" s="598" t="s">
        <v>61</v>
      </c>
      <c r="K1342" s="598" t="s">
        <v>61</v>
      </c>
      <c r="L1342" s="598" t="s">
        <v>421</v>
      </c>
      <c r="M1342" s="598"/>
      <c r="N1342" s="598" t="s">
        <v>423</v>
      </c>
      <c r="Q1342" s="595"/>
      <c r="R1342" s="484"/>
      <c r="S1342" s="595"/>
      <c r="T1342" s="595"/>
      <c r="U1342" s="595"/>
    </row>
    <row r="1343" spans="2:21" s="485" customFormat="1" ht="14.1" customHeight="1">
      <c r="B1343" s="951"/>
      <c r="C1343" s="600"/>
      <c r="D1343" s="969"/>
      <c r="E1343" s="970"/>
      <c r="F1343" s="601"/>
      <c r="G1343" s="973"/>
      <c r="H1343" s="973"/>
      <c r="I1343" s="600" t="s">
        <v>61</v>
      </c>
      <c r="J1343" s="602"/>
      <c r="K1343" s="602"/>
      <c r="L1343" s="602"/>
      <c r="M1343" s="602"/>
      <c r="N1343" s="600" t="s">
        <v>61</v>
      </c>
      <c r="Q1343" s="595"/>
      <c r="R1343" s="484"/>
      <c r="S1343" s="595"/>
      <c r="T1343" s="595"/>
      <c r="U1343" s="595"/>
    </row>
    <row r="1344" spans="2:21" s="485" customFormat="1" ht="14.1" customHeight="1">
      <c r="B1344" s="951"/>
      <c r="C1344" s="596" t="s">
        <v>213</v>
      </c>
      <c r="D1344" s="603" t="s">
        <v>62</v>
      </c>
      <c r="E1344" s="710" t="s">
        <v>155</v>
      </c>
      <c r="F1344" s="710"/>
      <c r="G1344" s="605" t="s">
        <v>83</v>
      </c>
      <c r="H1344" s="711">
        <v>1.2</v>
      </c>
      <c r="I1344" s="491">
        <f>'UPH-TNG'!$I$117/4</f>
        <v>45725</v>
      </c>
      <c r="J1344" s="491">
        <f>ROUND(H1344*I1344,2)</f>
        <v>54870</v>
      </c>
      <c r="K1344" s="492"/>
      <c r="L1344" s="501">
        <f>$L$1228</f>
        <v>0.93859999999999999</v>
      </c>
      <c r="M1344" s="494" t="s">
        <v>429</v>
      </c>
      <c r="N1344" s="491">
        <f t="shared" ref="N1344:N1353" si="84">L1344*J1344</f>
        <v>51500.981999999996</v>
      </c>
      <c r="Q1344" s="595"/>
      <c r="R1344" s="484"/>
      <c r="S1344" s="595"/>
      <c r="T1344" s="595"/>
      <c r="U1344" s="595"/>
    </row>
    <row r="1345" spans="2:21" s="485" customFormat="1" ht="14.1" customHeight="1">
      <c r="B1345" s="951"/>
      <c r="C1345" s="598"/>
      <c r="D1345" s="607"/>
      <c r="E1345" s="710" t="s">
        <v>130</v>
      </c>
      <c r="F1345" s="710"/>
      <c r="G1345" s="605" t="s">
        <v>45</v>
      </c>
      <c r="H1345" s="711">
        <v>1</v>
      </c>
      <c r="I1345" s="491">
        <f>I1344*0.35</f>
        <v>16003.749999999998</v>
      </c>
      <c r="J1345" s="491">
        <f>ROUND(H1345*I1345,2)</f>
        <v>16003.75</v>
      </c>
      <c r="K1345" s="511"/>
      <c r="L1345" s="501">
        <v>0.75</v>
      </c>
      <c r="M1345" s="494" t="s">
        <v>430</v>
      </c>
      <c r="N1345" s="491">
        <f t="shared" si="84"/>
        <v>12002.8125</v>
      </c>
      <c r="Q1345" s="595"/>
      <c r="R1345" s="484"/>
      <c r="S1345" s="595"/>
      <c r="T1345" s="595"/>
      <c r="U1345" s="595"/>
    </row>
    <row r="1346" spans="2:21" s="485" customFormat="1" ht="14.1" customHeight="1">
      <c r="B1346" s="951"/>
      <c r="C1346" s="600"/>
      <c r="D1346" s="607"/>
      <c r="E1346" s="712" t="s">
        <v>156</v>
      </c>
      <c r="F1346" s="713"/>
      <c r="G1346" s="610"/>
      <c r="H1346" s="714"/>
      <c r="I1346" s="504"/>
      <c r="J1346" s="495"/>
      <c r="K1346" s="491">
        <f>SUM(J1344:J1345)</f>
        <v>70873.75</v>
      </c>
      <c r="L1346" s="493"/>
      <c r="M1346" s="494"/>
      <c r="N1346" s="491">
        <f t="shared" si="84"/>
        <v>0</v>
      </c>
      <c r="Q1346" s="595"/>
      <c r="R1346" s="484"/>
      <c r="S1346" s="595"/>
      <c r="T1346" s="595"/>
      <c r="U1346" s="595"/>
    </row>
    <row r="1347" spans="2:21" s="485" customFormat="1" ht="14.1" customHeight="1">
      <c r="B1347" s="951"/>
      <c r="C1347" s="596" t="s">
        <v>214</v>
      </c>
      <c r="D1347" s="603" t="s">
        <v>63</v>
      </c>
      <c r="E1347" s="710" t="s">
        <v>64</v>
      </c>
      <c r="F1347" s="710"/>
      <c r="G1347" s="605" t="s">
        <v>66</v>
      </c>
      <c r="H1347" s="711">
        <v>8.1000000000000003E-2</v>
      </c>
      <c r="I1347" s="491">
        <f>'UPH-TNG'!$I$15</f>
        <v>92000</v>
      </c>
      <c r="J1347" s="491">
        <f>ROUND(H1347*I1347,2)</f>
        <v>7452</v>
      </c>
      <c r="K1347" s="492"/>
      <c r="L1347" s="493">
        <v>1</v>
      </c>
      <c r="M1347" s="493" t="s">
        <v>422</v>
      </c>
      <c r="N1347" s="491">
        <f t="shared" si="84"/>
        <v>7452</v>
      </c>
      <c r="Q1347" s="595"/>
      <c r="R1347" s="484"/>
      <c r="S1347" s="595"/>
      <c r="T1347" s="595"/>
      <c r="U1347" s="595"/>
    </row>
    <row r="1348" spans="2:21" s="485" customFormat="1" ht="14.1" customHeight="1">
      <c r="B1348" s="951"/>
      <c r="C1348" s="598"/>
      <c r="D1348" s="607"/>
      <c r="E1348" s="710" t="s">
        <v>125</v>
      </c>
      <c r="F1348" s="710"/>
      <c r="G1348" s="605" t="s">
        <v>66</v>
      </c>
      <c r="H1348" s="711">
        <v>0.13500000000000001</v>
      </c>
      <c r="I1348" s="491">
        <f>'UPH-TNG'!$I$21</f>
        <v>95000</v>
      </c>
      <c r="J1348" s="491">
        <f>ROUND(H1348*I1348,2)</f>
        <v>12825</v>
      </c>
      <c r="K1348" s="496"/>
      <c r="L1348" s="493">
        <v>1</v>
      </c>
      <c r="M1348" s="493" t="s">
        <v>422</v>
      </c>
      <c r="N1348" s="491">
        <f t="shared" si="84"/>
        <v>12825</v>
      </c>
      <c r="Q1348" s="595"/>
      <c r="R1348" s="484"/>
      <c r="S1348" s="595"/>
      <c r="T1348" s="595"/>
      <c r="U1348" s="595"/>
    </row>
    <row r="1349" spans="2:21" s="485" customFormat="1" ht="14.1" customHeight="1">
      <c r="B1349" s="951"/>
      <c r="C1349" s="598"/>
      <c r="D1349" s="607"/>
      <c r="E1349" s="710" t="s">
        <v>238</v>
      </c>
      <c r="F1349" s="710"/>
      <c r="G1349" s="605" t="s">
        <v>66</v>
      </c>
      <c r="H1349" s="716">
        <v>1.35E-2</v>
      </c>
      <c r="I1349" s="491">
        <f>'UPH-TNG'!$I$21</f>
        <v>95000</v>
      </c>
      <c r="J1349" s="491">
        <f>ROUND(H1349*I1349,2)</f>
        <v>1282.5</v>
      </c>
      <c r="K1349" s="496"/>
      <c r="L1349" s="493">
        <v>1</v>
      </c>
      <c r="M1349" s="493" t="s">
        <v>422</v>
      </c>
      <c r="N1349" s="491">
        <f t="shared" si="84"/>
        <v>1282.5</v>
      </c>
      <c r="Q1349" s="595"/>
      <c r="R1349" s="484"/>
      <c r="S1349" s="595"/>
      <c r="T1349" s="595"/>
      <c r="U1349" s="595"/>
    </row>
    <row r="1350" spans="2:21" s="485" customFormat="1" ht="14.1" customHeight="1">
      <c r="B1350" s="951"/>
      <c r="C1350" s="598"/>
      <c r="D1350" s="607"/>
      <c r="E1350" s="710" t="s">
        <v>65</v>
      </c>
      <c r="F1350" s="710"/>
      <c r="G1350" s="605" t="s">
        <v>66</v>
      </c>
      <c r="H1350" s="711">
        <v>4.0000000000000001E-3</v>
      </c>
      <c r="I1350" s="491">
        <f>'UPH-TNG'!$I$20</f>
        <v>98000</v>
      </c>
      <c r="J1350" s="491">
        <f>ROUND(H1350*I1350,2)</f>
        <v>392</v>
      </c>
      <c r="K1350" s="607"/>
      <c r="L1350" s="493">
        <v>1</v>
      </c>
      <c r="M1350" s="493" t="s">
        <v>422</v>
      </c>
      <c r="N1350" s="491">
        <f t="shared" si="84"/>
        <v>392</v>
      </c>
      <c r="Q1350" s="595"/>
      <c r="R1350" s="484"/>
      <c r="S1350" s="595"/>
      <c r="T1350" s="595"/>
      <c r="U1350" s="595"/>
    </row>
    <row r="1351" spans="2:21" s="485" customFormat="1" ht="14.1" customHeight="1">
      <c r="B1351" s="951"/>
      <c r="C1351" s="600"/>
      <c r="D1351" s="602"/>
      <c r="E1351" s="612"/>
      <c r="F1351" s="613"/>
      <c r="G1351" s="610"/>
      <c r="H1351" s="614"/>
      <c r="I1351" s="504"/>
      <c r="J1351" s="495"/>
      <c r="K1351" s="494">
        <f>SUM(J1347:J1350)</f>
        <v>21951.5</v>
      </c>
      <c r="L1351" s="493"/>
      <c r="M1351" s="494"/>
      <c r="N1351" s="491">
        <f t="shared" si="84"/>
        <v>0</v>
      </c>
      <c r="Q1351" s="595"/>
      <c r="R1351" s="484"/>
      <c r="S1351" s="595"/>
      <c r="T1351" s="595"/>
      <c r="U1351" s="595"/>
    </row>
    <row r="1352" spans="2:21" s="485" customFormat="1" ht="14.1" customHeight="1">
      <c r="B1352" s="951"/>
      <c r="C1352" s="596" t="s">
        <v>215</v>
      </c>
      <c r="D1352" s="603" t="s">
        <v>212</v>
      </c>
      <c r="E1352" s="615"/>
      <c r="F1352" s="615"/>
      <c r="G1352" s="605"/>
      <c r="H1352" s="616"/>
      <c r="I1352" s="617"/>
      <c r="J1352" s="491"/>
      <c r="K1352" s="492"/>
      <c r="L1352" s="493"/>
      <c r="M1352" s="494"/>
      <c r="N1352" s="491">
        <f t="shared" si="84"/>
        <v>0</v>
      </c>
      <c r="Q1352" s="595"/>
      <c r="R1352" s="484"/>
      <c r="S1352" s="595"/>
      <c r="T1352" s="595"/>
      <c r="U1352" s="595"/>
    </row>
    <row r="1353" spans="2:21" s="485" customFormat="1" ht="14.1" customHeight="1">
      <c r="B1353" s="951"/>
      <c r="C1353" s="600"/>
      <c r="D1353" s="602"/>
      <c r="E1353" s="612"/>
      <c r="F1353" s="613"/>
      <c r="G1353" s="610"/>
      <c r="H1353" s="614"/>
      <c r="I1353" s="618"/>
      <c r="J1353" s="495"/>
      <c r="K1353" s="494">
        <f>SUM(J1352:J1352)</f>
        <v>0</v>
      </c>
      <c r="L1353" s="493"/>
      <c r="M1353" s="494"/>
      <c r="N1353" s="491">
        <f t="shared" si="84"/>
        <v>0</v>
      </c>
      <c r="Q1353" s="595"/>
      <c r="R1353" s="484"/>
      <c r="S1353" s="595"/>
      <c r="T1353" s="595"/>
      <c r="U1353" s="595"/>
    </row>
    <row r="1354" spans="2:21" s="485" customFormat="1" ht="14.1" customHeight="1">
      <c r="B1354" s="951"/>
      <c r="C1354" s="605" t="s">
        <v>216</v>
      </c>
      <c r="D1354" s="619" t="s">
        <v>219</v>
      </c>
      <c r="E1354" s="613"/>
      <c r="F1354" s="613"/>
      <c r="G1354" s="610"/>
      <c r="H1354" s="614"/>
      <c r="I1354" s="618"/>
      <c r="J1354" s="497" t="s">
        <v>220</v>
      </c>
      <c r="K1354" s="494">
        <f>K1346+K1351+K1353</f>
        <v>92825.25</v>
      </c>
      <c r="L1354" s="620">
        <f>N1354/K1354</f>
        <v>0.92060397898201174</v>
      </c>
      <c r="M1354" s="497"/>
      <c r="N1354" s="498">
        <f>SUM(N1343:N1353)</f>
        <v>85455.294499999989</v>
      </c>
      <c r="Q1354" s="595"/>
      <c r="R1354" s="484"/>
      <c r="S1354" s="595"/>
      <c r="T1354" s="595"/>
      <c r="U1354" s="595"/>
    </row>
    <row r="1355" spans="2:21" s="485" customFormat="1" ht="14.1" customHeight="1">
      <c r="B1355" s="951"/>
      <c r="C1355" s="605" t="s">
        <v>217</v>
      </c>
      <c r="D1355" s="619" t="s">
        <v>221</v>
      </c>
      <c r="E1355" s="613"/>
      <c r="F1355" s="499">
        <f>$F$48</f>
        <v>0.1</v>
      </c>
      <c r="G1355" s="605" t="s">
        <v>168</v>
      </c>
      <c r="H1355" s="499">
        <f>$H$48</f>
        <v>0.02</v>
      </c>
      <c r="I1355" s="621" t="s">
        <v>167</v>
      </c>
      <c r="J1355" s="494" t="s">
        <v>216</v>
      </c>
      <c r="K1355" s="500">
        <f>ROUND((K1354*(F1355+H1355)),2)</f>
        <v>11139.03</v>
      </c>
      <c r="L1355" s="494"/>
      <c r="M1355" s="494"/>
      <c r="N1355" s="494"/>
      <c r="Q1355" s="595"/>
      <c r="R1355" s="484"/>
      <c r="S1355" s="595"/>
      <c r="T1355" s="595"/>
      <c r="U1355" s="595"/>
    </row>
    <row r="1356" spans="2:21" s="485" customFormat="1" ht="14.1" customHeight="1">
      <c r="B1356" s="951"/>
      <c r="C1356" s="622" t="s">
        <v>222</v>
      </c>
      <c r="D1356" s="623" t="s">
        <v>76</v>
      </c>
      <c r="E1356" s="624"/>
      <c r="F1356" s="624"/>
      <c r="G1356" s="624"/>
      <c r="H1356" s="625"/>
      <c r="I1356" s="624"/>
      <c r="J1356" s="626" t="s">
        <v>226</v>
      </c>
      <c r="K1356" s="627">
        <f>SUM(K1354:K1355)</f>
        <v>103964.28</v>
      </c>
      <c r="L1356" s="620"/>
      <c r="M1356" s="626"/>
      <c r="N1356" s="635"/>
      <c r="Q1356" s="595"/>
      <c r="R1356" s="484"/>
      <c r="S1356" s="595"/>
      <c r="T1356" s="595"/>
      <c r="U1356" s="595"/>
    </row>
    <row r="1357" spans="2:21">
      <c r="Q1357" s="595"/>
      <c r="R1357" s="484"/>
      <c r="S1357" s="595"/>
      <c r="T1357" s="595"/>
      <c r="U1357" s="595"/>
    </row>
    <row r="1358" spans="2:21" s="485" customFormat="1" ht="14.1" customHeight="1">
      <c r="B1358" s="951">
        <f>B1339+1</f>
        <v>69</v>
      </c>
      <c r="C1358" s="488"/>
      <c r="D1358" s="709" t="s">
        <v>187</v>
      </c>
      <c r="H1358" s="488"/>
      <c r="K1358" s="591" t="s">
        <v>253</v>
      </c>
      <c r="L1358" s="591"/>
      <c r="M1358" s="591"/>
      <c r="N1358" s="591"/>
      <c r="O1358" s="485" t="str">
        <f>D1359</f>
        <v>m'</v>
      </c>
      <c r="P1358" s="636">
        <f>K1375</f>
        <v>167594.56</v>
      </c>
      <c r="Q1358" s="593">
        <f>L1373</f>
        <v>0.91135196941953245</v>
      </c>
      <c r="R1358" s="484">
        <f>N1373</f>
        <v>136372.886</v>
      </c>
      <c r="S1358" s="594"/>
      <c r="T1358" s="484"/>
      <c r="U1358" s="593"/>
    </row>
    <row r="1359" spans="2:21" s="485" customFormat="1" ht="14.1" customHeight="1">
      <c r="B1359" s="951"/>
      <c r="C1359" s="488"/>
      <c r="D1359" s="485" t="s">
        <v>32</v>
      </c>
      <c r="H1359" s="488"/>
      <c r="Q1359" s="595"/>
      <c r="R1359" s="484"/>
      <c r="S1359" s="595"/>
      <c r="T1359" s="595"/>
      <c r="U1359" s="595"/>
    </row>
    <row r="1360" spans="2:21" s="485" customFormat="1" ht="14.1" customHeight="1">
      <c r="B1360" s="951"/>
      <c r="C1360" s="596"/>
      <c r="D1360" s="977" t="s">
        <v>55</v>
      </c>
      <c r="E1360" s="978"/>
      <c r="F1360" s="597"/>
      <c r="G1360" s="981" t="s">
        <v>56</v>
      </c>
      <c r="H1360" s="981" t="s">
        <v>57</v>
      </c>
      <c r="I1360" s="596" t="s">
        <v>58</v>
      </c>
      <c r="J1360" s="596" t="s">
        <v>59</v>
      </c>
      <c r="K1360" s="596" t="s">
        <v>102</v>
      </c>
      <c r="L1360" s="596" t="s">
        <v>418</v>
      </c>
      <c r="M1360" s="596" t="s">
        <v>419</v>
      </c>
      <c r="N1360" s="596" t="s">
        <v>59</v>
      </c>
      <c r="Q1360" s="595"/>
      <c r="R1360" s="484"/>
      <c r="S1360" s="595"/>
      <c r="T1360" s="595"/>
      <c r="U1360" s="595"/>
    </row>
    <row r="1361" spans="2:21" s="485" customFormat="1" ht="14.1" customHeight="1">
      <c r="B1361" s="951"/>
      <c r="C1361" s="598" t="s">
        <v>227</v>
      </c>
      <c r="D1361" s="979"/>
      <c r="E1361" s="980"/>
      <c r="F1361" s="599"/>
      <c r="G1361" s="982"/>
      <c r="H1361" s="982"/>
      <c r="I1361" s="598" t="s">
        <v>60</v>
      </c>
      <c r="J1361" s="598" t="s">
        <v>61</v>
      </c>
      <c r="K1361" s="598" t="s">
        <v>61</v>
      </c>
      <c r="L1361" s="598" t="s">
        <v>421</v>
      </c>
      <c r="M1361" s="598"/>
      <c r="N1361" s="598" t="s">
        <v>423</v>
      </c>
      <c r="Q1361" s="595"/>
      <c r="R1361" s="484"/>
      <c r="S1361" s="595"/>
      <c r="T1361" s="595"/>
      <c r="U1361" s="595"/>
    </row>
    <row r="1362" spans="2:21" s="485" customFormat="1" ht="14.1" customHeight="1">
      <c r="B1362" s="951"/>
      <c r="C1362" s="600"/>
      <c r="D1362" s="969"/>
      <c r="E1362" s="970"/>
      <c r="F1362" s="601"/>
      <c r="G1362" s="973"/>
      <c r="H1362" s="973"/>
      <c r="I1362" s="600" t="s">
        <v>61</v>
      </c>
      <c r="J1362" s="602"/>
      <c r="K1362" s="602"/>
      <c r="L1362" s="602"/>
      <c r="M1362" s="602"/>
      <c r="N1362" s="600" t="s">
        <v>61</v>
      </c>
      <c r="Q1362" s="595"/>
      <c r="R1362" s="484"/>
      <c r="S1362" s="595"/>
      <c r="T1362" s="595"/>
      <c r="U1362" s="595"/>
    </row>
    <row r="1363" spans="2:21" s="485" customFormat="1" ht="14.1" customHeight="1">
      <c r="B1363" s="951"/>
      <c r="C1363" s="596" t="s">
        <v>213</v>
      </c>
      <c r="D1363" s="603" t="s">
        <v>62</v>
      </c>
      <c r="E1363" s="710" t="s">
        <v>137</v>
      </c>
      <c r="F1363" s="710"/>
      <c r="G1363" s="605" t="s">
        <v>83</v>
      </c>
      <c r="H1363" s="711">
        <v>1.2</v>
      </c>
      <c r="I1363" s="491">
        <f>'UPH-TNG'!$I$118/4</f>
        <v>82300</v>
      </c>
      <c r="J1363" s="491">
        <f>ROUND(H1363*I1363,2)</f>
        <v>98760</v>
      </c>
      <c r="K1363" s="492"/>
      <c r="L1363" s="501">
        <f>$L$1228</f>
        <v>0.93859999999999999</v>
      </c>
      <c r="M1363" s="494" t="s">
        <v>429</v>
      </c>
      <c r="N1363" s="491">
        <f t="shared" ref="N1363:N1372" si="85">L1363*J1363</f>
        <v>92696.135999999999</v>
      </c>
      <c r="Q1363" s="595"/>
      <c r="R1363" s="484"/>
      <c r="S1363" s="595"/>
      <c r="T1363" s="595"/>
      <c r="U1363" s="595"/>
    </row>
    <row r="1364" spans="2:21" s="485" customFormat="1" ht="14.1" customHeight="1">
      <c r="B1364" s="951"/>
      <c r="C1364" s="598"/>
      <c r="D1364" s="607"/>
      <c r="E1364" s="710" t="s">
        <v>130</v>
      </c>
      <c r="F1364" s="710"/>
      <c r="G1364" s="605" t="s">
        <v>45</v>
      </c>
      <c r="H1364" s="711">
        <v>1</v>
      </c>
      <c r="I1364" s="491">
        <f>I1363*0.35</f>
        <v>28804.999999999996</v>
      </c>
      <c r="J1364" s="491">
        <f>ROUND(H1364*I1364,2)</f>
        <v>28805</v>
      </c>
      <c r="K1364" s="511"/>
      <c r="L1364" s="501">
        <v>0.75</v>
      </c>
      <c r="M1364" s="494" t="s">
        <v>430</v>
      </c>
      <c r="N1364" s="491">
        <f t="shared" si="85"/>
        <v>21603.75</v>
      </c>
      <c r="Q1364" s="595"/>
      <c r="R1364" s="484"/>
      <c r="S1364" s="595"/>
      <c r="T1364" s="595"/>
      <c r="U1364" s="595"/>
    </row>
    <row r="1365" spans="2:21" s="485" customFormat="1" ht="14.1" customHeight="1">
      <c r="B1365" s="951"/>
      <c r="C1365" s="600"/>
      <c r="D1365" s="607"/>
      <c r="E1365" s="712" t="s">
        <v>156</v>
      </c>
      <c r="F1365" s="713"/>
      <c r="G1365" s="610"/>
      <c r="H1365" s="714"/>
      <c r="I1365" s="504"/>
      <c r="J1365" s="495"/>
      <c r="K1365" s="491">
        <f>SUM(J1363:J1364)</f>
        <v>127565</v>
      </c>
      <c r="L1365" s="493"/>
      <c r="M1365" s="494"/>
      <c r="N1365" s="491">
        <f t="shared" si="85"/>
        <v>0</v>
      </c>
      <c r="Q1365" s="595"/>
      <c r="R1365" s="484"/>
      <c r="S1365" s="595"/>
      <c r="T1365" s="595"/>
      <c r="U1365" s="595"/>
    </row>
    <row r="1366" spans="2:21" s="485" customFormat="1" ht="14.1" customHeight="1">
      <c r="B1366" s="951"/>
      <c r="C1366" s="596" t="s">
        <v>214</v>
      </c>
      <c r="D1366" s="603" t="s">
        <v>63</v>
      </c>
      <c r="E1366" s="710" t="s">
        <v>64</v>
      </c>
      <c r="F1366" s="710"/>
      <c r="G1366" s="605" t="s">
        <v>66</v>
      </c>
      <c r="H1366" s="711">
        <v>8.1000000000000003E-2</v>
      </c>
      <c r="I1366" s="491">
        <f>'UPH-TNG'!$I$15</f>
        <v>92000</v>
      </c>
      <c r="J1366" s="491">
        <f>ROUND(H1366*I1366,2)</f>
        <v>7452</v>
      </c>
      <c r="K1366" s="492"/>
      <c r="L1366" s="493">
        <v>1</v>
      </c>
      <c r="M1366" s="493" t="s">
        <v>422</v>
      </c>
      <c r="N1366" s="491">
        <f t="shared" si="85"/>
        <v>7452</v>
      </c>
      <c r="Q1366" s="595"/>
      <c r="R1366" s="484"/>
      <c r="S1366" s="595"/>
      <c r="T1366" s="595"/>
      <c r="U1366" s="595"/>
    </row>
    <row r="1367" spans="2:21" s="485" customFormat="1" ht="14.1" customHeight="1">
      <c r="B1367" s="951"/>
      <c r="C1367" s="598"/>
      <c r="D1367" s="607"/>
      <c r="E1367" s="710" t="s">
        <v>125</v>
      </c>
      <c r="F1367" s="710"/>
      <c r="G1367" s="605" t="s">
        <v>66</v>
      </c>
      <c r="H1367" s="711">
        <v>0.13500000000000001</v>
      </c>
      <c r="I1367" s="491">
        <f>'UPH-TNG'!$I$21</f>
        <v>95000</v>
      </c>
      <c r="J1367" s="491">
        <f>ROUND(H1367*I1367,2)</f>
        <v>12825</v>
      </c>
      <c r="K1367" s="496"/>
      <c r="L1367" s="493">
        <v>1</v>
      </c>
      <c r="M1367" s="493" t="s">
        <v>422</v>
      </c>
      <c r="N1367" s="491">
        <f t="shared" si="85"/>
        <v>12825</v>
      </c>
      <c r="Q1367" s="595"/>
      <c r="R1367" s="484"/>
      <c r="S1367" s="595"/>
      <c r="T1367" s="595"/>
      <c r="U1367" s="595"/>
    </row>
    <row r="1368" spans="2:21" s="485" customFormat="1" ht="14.1" customHeight="1">
      <c r="B1368" s="951"/>
      <c r="C1368" s="598"/>
      <c r="D1368" s="607"/>
      <c r="E1368" s="710" t="s">
        <v>238</v>
      </c>
      <c r="F1368" s="710"/>
      <c r="G1368" s="605" t="s">
        <v>66</v>
      </c>
      <c r="H1368" s="716">
        <v>1.35E-2</v>
      </c>
      <c r="I1368" s="491">
        <f>'UPH-TNG'!$I$16</f>
        <v>104000</v>
      </c>
      <c r="J1368" s="491">
        <f>ROUND(H1368*I1368,2)</f>
        <v>1404</v>
      </c>
      <c r="K1368" s="496"/>
      <c r="L1368" s="493">
        <v>1</v>
      </c>
      <c r="M1368" s="493" t="s">
        <v>422</v>
      </c>
      <c r="N1368" s="491">
        <f t="shared" si="85"/>
        <v>1404</v>
      </c>
      <c r="Q1368" s="595"/>
      <c r="R1368" s="484"/>
      <c r="S1368" s="595"/>
      <c r="T1368" s="595"/>
      <c r="U1368" s="595"/>
    </row>
    <row r="1369" spans="2:21" s="485" customFormat="1" ht="14.1" customHeight="1">
      <c r="B1369" s="951"/>
      <c r="C1369" s="598"/>
      <c r="D1369" s="607"/>
      <c r="E1369" s="710" t="s">
        <v>65</v>
      </c>
      <c r="F1369" s="710"/>
      <c r="G1369" s="605" t="s">
        <v>66</v>
      </c>
      <c r="H1369" s="711">
        <v>4.0000000000000001E-3</v>
      </c>
      <c r="I1369" s="491">
        <f>'UPH-TNG'!$I$20</f>
        <v>98000</v>
      </c>
      <c r="J1369" s="491">
        <f>ROUND(H1369*I1369,2)</f>
        <v>392</v>
      </c>
      <c r="K1369" s="607"/>
      <c r="L1369" s="493">
        <v>1</v>
      </c>
      <c r="M1369" s="493" t="s">
        <v>422</v>
      </c>
      <c r="N1369" s="491">
        <f t="shared" si="85"/>
        <v>392</v>
      </c>
      <c r="Q1369" s="595"/>
      <c r="R1369" s="484"/>
      <c r="S1369" s="595"/>
      <c r="T1369" s="595"/>
      <c r="U1369" s="595"/>
    </row>
    <row r="1370" spans="2:21" s="485" customFormat="1" ht="14.1" customHeight="1">
      <c r="B1370" s="951"/>
      <c r="C1370" s="600"/>
      <c r="D1370" s="602"/>
      <c r="E1370" s="612"/>
      <c r="F1370" s="613"/>
      <c r="G1370" s="610"/>
      <c r="H1370" s="614"/>
      <c r="I1370" s="504"/>
      <c r="J1370" s="495"/>
      <c r="K1370" s="494">
        <f>SUM(J1366:J1369)</f>
        <v>22073</v>
      </c>
      <c r="L1370" s="493"/>
      <c r="M1370" s="494"/>
      <c r="N1370" s="491">
        <f t="shared" si="85"/>
        <v>0</v>
      </c>
      <c r="Q1370" s="595"/>
      <c r="R1370" s="484"/>
      <c r="S1370" s="595"/>
      <c r="T1370" s="595"/>
      <c r="U1370" s="595"/>
    </row>
    <row r="1371" spans="2:21" s="485" customFormat="1" ht="14.1" customHeight="1">
      <c r="B1371" s="951"/>
      <c r="C1371" s="596" t="s">
        <v>215</v>
      </c>
      <c r="D1371" s="603" t="s">
        <v>212</v>
      </c>
      <c r="E1371" s="615"/>
      <c r="F1371" s="615"/>
      <c r="G1371" s="605"/>
      <c r="H1371" s="616"/>
      <c r="I1371" s="617"/>
      <c r="J1371" s="491"/>
      <c r="K1371" s="492"/>
      <c r="L1371" s="493"/>
      <c r="M1371" s="494"/>
      <c r="N1371" s="491">
        <f t="shared" si="85"/>
        <v>0</v>
      </c>
      <c r="Q1371" s="595"/>
      <c r="R1371" s="484"/>
      <c r="S1371" s="595"/>
      <c r="T1371" s="595"/>
      <c r="U1371" s="595"/>
    </row>
    <row r="1372" spans="2:21" s="485" customFormat="1" ht="14.1" customHeight="1">
      <c r="B1372" s="951"/>
      <c r="C1372" s="600"/>
      <c r="D1372" s="602"/>
      <c r="E1372" s="612"/>
      <c r="F1372" s="613"/>
      <c r="G1372" s="610"/>
      <c r="H1372" s="614"/>
      <c r="I1372" s="618"/>
      <c r="J1372" s="495"/>
      <c r="K1372" s="494">
        <f>SUM(J1371:J1371)</f>
        <v>0</v>
      </c>
      <c r="L1372" s="493"/>
      <c r="M1372" s="494"/>
      <c r="N1372" s="491">
        <f t="shared" si="85"/>
        <v>0</v>
      </c>
      <c r="Q1372" s="595"/>
      <c r="R1372" s="484"/>
      <c r="S1372" s="595"/>
      <c r="T1372" s="595"/>
      <c r="U1372" s="595"/>
    </row>
    <row r="1373" spans="2:21" s="485" customFormat="1" ht="14.1" customHeight="1">
      <c r="B1373" s="951"/>
      <c r="C1373" s="605" t="s">
        <v>216</v>
      </c>
      <c r="D1373" s="619" t="s">
        <v>219</v>
      </c>
      <c r="E1373" s="613"/>
      <c r="F1373" s="613"/>
      <c r="G1373" s="610"/>
      <c r="H1373" s="614"/>
      <c r="I1373" s="618"/>
      <c r="J1373" s="497" t="s">
        <v>220</v>
      </c>
      <c r="K1373" s="494">
        <f>K1365+K1370+K1372</f>
        <v>149638</v>
      </c>
      <c r="L1373" s="620">
        <f>N1373/K1373</f>
        <v>0.91135196941953245</v>
      </c>
      <c r="M1373" s="497"/>
      <c r="N1373" s="498">
        <f>SUM(N1362:N1372)</f>
        <v>136372.886</v>
      </c>
      <c r="Q1373" s="595"/>
      <c r="R1373" s="484"/>
      <c r="S1373" s="595"/>
      <c r="T1373" s="595"/>
      <c r="U1373" s="595"/>
    </row>
    <row r="1374" spans="2:21" s="485" customFormat="1" ht="14.1" customHeight="1">
      <c r="B1374" s="951"/>
      <c r="C1374" s="605" t="s">
        <v>217</v>
      </c>
      <c r="D1374" s="619" t="s">
        <v>221</v>
      </c>
      <c r="E1374" s="613"/>
      <c r="F1374" s="499">
        <f>$F$48</f>
        <v>0.1</v>
      </c>
      <c r="G1374" s="605" t="s">
        <v>168</v>
      </c>
      <c r="H1374" s="499">
        <f>$H$48</f>
        <v>0.02</v>
      </c>
      <c r="I1374" s="621" t="s">
        <v>167</v>
      </c>
      <c r="J1374" s="494" t="s">
        <v>216</v>
      </c>
      <c r="K1374" s="500">
        <f>ROUND((K1373*(F1374+H1374)),2)</f>
        <v>17956.560000000001</v>
      </c>
      <c r="L1374" s="494"/>
      <c r="M1374" s="494"/>
      <c r="N1374" s="494"/>
      <c r="Q1374" s="595"/>
      <c r="R1374" s="484"/>
      <c r="S1374" s="595"/>
      <c r="T1374" s="595"/>
      <c r="U1374" s="595"/>
    </row>
    <row r="1375" spans="2:21" s="485" customFormat="1" ht="14.1" customHeight="1">
      <c r="B1375" s="951"/>
      <c r="C1375" s="622" t="s">
        <v>222</v>
      </c>
      <c r="D1375" s="623" t="s">
        <v>76</v>
      </c>
      <c r="E1375" s="624"/>
      <c r="F1375" s="624"/>
      <c r="G1375" s="624"/>
      <c r="H1375" s="625"/>
      <c r="I1375" s="624"/>
      <c r="J1375" s="626" t="s">
        <v>226</v>
      </c>
      <c r="K1375" s="627">
        <f>SUM(K1373:K1374)</f>
        <v>167594.56</v>
      </c>
      <c r="L1375" s="620"/>
      <c r="M1375" s="626"/>
      <c r="N1375" s="635"/>
      <c r="Q1375" s="595"/>
      <c r="R1375" s="484"/>
      <c r="S1375" s="595"/>
      <c r="T1375" s="595"/>
      <c r="U1375" s="595"/>
    </row>
    <row r="1376" spans="2:21">
      <c r="Q1376" s="595"/>
      <c r="R1376" s="484"/>
      <c r="S1376" s="595"/>
      <c r="T1376" s="595"/>
      <c r="U1376" s="595"/>
    </row>
    <row r="1377" spans="2:21" s="485" customFormat="1" ht="14.1" hidden="1" customHeight="1">
      <c r="B1377" s="951">
        <f>B1358+1</f>
        <v>70</v>
      </c>
      <c r="C1377" s="488"/>
      <c r="D1377" s="709" t="s">
        <v>622</v>
      </c>
      <c r="H1377" s="488"/>
      <c r="K1377" s="591" t="s">
        <v>253</v>
      </c>
      <c r="L1377" s="591"/>
      <c r="M1377" s="591"/>
      <c r="N1377" s="591"/>
      <c r="O1377" s="485" t="str">
        <f>D1378</f>
        <v>m'</v>
      </c>
      <c r="P1377" s="636">
        <f>K1394</f>
        <v>675721.76</v>
      </c>
      <c r="Q1377" s="593">
        <f>L1392</f>
        <v>0.89981734493795196</v>
      </c>
      <c r="R1377" s="484">
        <f>N1392</f>
        <v>542880.5</v>
      </c>
      <c r="S1377" s="594"/>
      <c r="T1377" s="484"/>
      <c r="U1377" s="593"/>
    </row>
    <row r="1378" spans="2:21" s="485" customFormat="1" ht="14.1" hidden="1" customHeight="1">
      <c r="B1378" s="951"/>
      <c r="C1378" s="488"/>
      <c r="D1378" s="485" t="s">
        <v>32</v>
      </c>
      <c r="H1378" s="488"/>
      <c r="Q1378" s="595"/>
      <c r="R1378" s="484"/>
      <c r="S1378" s="595"/>
      <c r="T1378" s="595"/>
      <c r="U1378" s="595"/>
    </row>
    <row r="1379" spans="2:21" s="485" customFormat="1" ht="14.1" hidden="1" customHeight="1">
      <c r="B1379" s="951"/>
      <c r="C1379" s="596"/>
      <c r="D1379" s="977" t="s">
        <v>55</v>
      </c>
      <c r="E1379" s="978"/>
      <c r="F1379" s="597"/>
      <c r="G1379" s="981" t="s">
        <v>56</v>
      </c>
      <c r="H1379" s="981" t="s">
        <v>57</v>
      </c>
      <c r="I1379" s="596" t="s">
        <v>58</v>
      </c>
      <c r="J1379" s="596" t="s">
        <v>59</v>
      </c>
      <c r="K1379" s="596" t="s">
        <v>102</v>
      </c>
      <c r="L1379" s="596" t="s">
        <v>418</v>
      </c>
      <c r="M1379" s="596" t="s">
        <v>419</v>
      </c>
      <c r="N1379" s="596" t="s">
        <v>59</v>
      </c>
      <c r="Q1379" s="595"/>
      <c r="R1379" s="484"/>
      <c r="S1379" s="595"/>
      <c r="T1379" s="595"/>
      <c r="U1379" s="595"/>
    </row>
    <row r="1380" spans="2:21" s="485" customFormat="1" ht="14.1" hidden="1" customHeight="1">
      <c r="B1380" s="951"/>
      <c r="C1380" s="598" t="s">
        <v>227</v>
      </c>
      <c r="D1380" s="979"/>
      <c r="E1380" s="980"/>
      <c r="F1380" s="599"/>
      <c r="G1380" s="982"/>
      <c r="H1380" s="982"/>
      <c r="I1380" s="598" t="s">
        <v>60</v>
      </c>
      <c r="J1380" s="598" t="s">
        <v>61</v>
      </c>
      <c r="K1380" s="598" t="s">
        <v>61</v>
      </c>
      <c r="L1380" s="598" t="s">
        <v>421</v>
      </c>
      <c r="M1380" s="598"/>
      <c r="N1380" s="598" t="s">
        <v>423</v>
      </c>
      <c r="Q1380" s="595"/>
      <c r="R1380" s="484"/>
      <c r="S1380" s="595"/>
      <c r="T1380" s="595"/>
      <c r="U1380" s="595"/>
    </row>
    <row r="1381" spans="2:21" s="485" customFormat="1" ht="14.1" hidden="1" customHeight="1">
      <c r="B1381" s="951"/>
      <c r="C1381" s="600"/>
      <c r="D1381" s="969"/>
      <c r="E1381" s="970"/>
      <c r="F1381" s="601"/>
      <c r="G1381" s="973"/>
      <c r="H1381" s="973"/>
      <c r="I1381" s="600" t="s">
        <v>61</v>
      </c>
      <c r="J1381" s="602"/>
      <c r="K1381" s="602"/>
      <c r="L1381" s="602"/>
      <c r="M1381" s="602"/>
      <c r="N1381" s="600" t="s">
        <v>61</v>
      </c>
      <c r="Q1381" s="595"/>
      <c r="R1381" s="484"/>
      <c r="S1381" s="595"/>
      <c r="T1381" s="595"/>
      <c r="U1381" s="595"/>
    </row>
    <row r="1382" spans="2:21" s="485" customFormat="1" ht="14.1" hidden="1" customHeight="1">
      <c r="B1382" s="951"/>
      <c r="C1382" s="596" t="s">
        <v>213</v>
      </c>
      <c r="D1382" s="603" t="s">
        <v>62</v>
      </c>
      <c r="E1382" s="710" t="s">
        <v>623</v>
      </c>
      <c r="F1382" s="710"/>
      <c r="G1382" s="605" t="s">
        <v>83</v>
      </c>
      <c r="H1382" s="711">
        <v>1.2</v>
      </c>
      <c r="I1382" s="491">
        <f>'UPH-TNG'!$I$119/4</f>
        <v>375000</v>
      </c>
      <c r="J1382" s="491">
        <f>ROUND(H1382*I1382,2)</f>
        <v>450000</v>
      </c>
      <c r="K1382" s="492"/>
      <c r="L1382" s="501">
        <f>$L$1228</f>
        <v>0.93859999999999999</v>
      </c>
      <c r="M1382" s="494" t="s">
        <v>429</v>
      </c>
      <c r="N1382" s="491">
        <f t="shared" ref="N1382:N1391" si="86">L1382*J1382</f>
        <v>422370</v>
      </c>
      <c r="Q1382" s="595"/>
      <c r="R1382" s="484"/>
      <c r="S1382" s="595"/>
      <c r="T1382" s="595"/>
      <c r="U1382" s="595"/>
    </row>
    <row r="1383" spans="2:21" s="485" customFormat="1" ht="14.1" hidden="1" customHeight="1">
      <c r="B1383" s="951"/>
      <c r="C1383" s="598"/>
      <c r="D1383" s="607"/>
      <c r="E1383" s="710" t="s">
        <v>130</v>
      </c>
      <c r="F1383" s="710"/>
      <c r="G1383" s="605" t="s">
        <v>45</v>
      </c>
      <c r="H1383" s="711">
        <v>1</v>
      </c>
      <c r="I1383" s="491">
        <f>I1382*0.35</f>
        <v>131250</v>
      </c>
      <c r="J1383" s="491">
        <f>ROUND(H1383*I1383,2)</f>
        <v>131250</v>
      </c>
      <c r="K1383" s="511"/>
      <c r="L1383" s="501">
        <v>0.75</v>
      </c>
      <c r="M1383" s="494" t="s">
        <v>430</v>
      </c>
      <c r="N1383" s="491">
        <f t="shared" si="86"/>
        <v>98437.5</v>
      </c>
      <c r="Q1383" s="595"/>
      <c r="R1383" s="484"/>
      <c r="S1383" s="595"/>
      <c r="T1383" s="595"/>
      <c r="U1383" s="595"/>
    </row>
    <row r="1384" spans="2:21" s="485" customFormat="1" ht="14.1" hidden="1" customHeight="1">
      <c r="B1384" s="951"/>
      <c r="C1384" s="600"/>
      <c r="D1384" s="607"/>
      <c r="E1384" s="712" t="s">
        <v>156</v>
      </c>
      <c r="F1384" s="713"/>
      <c r="G1384" s="610"/>
      <c r="H1384" s="714"/>
      <c r="I1384" s="504"/>
      <c r="J1384" s="495"/>
      <c r="K1384" s="491">
        <f>SUM(J1382:J1383)</f>
        <v>581250</v>
      </c>
      <c r="L1384" s="493"/>
      <c r="M1384" s="494"/>
      <c r="N1384" s="491">
        <f t="shared" si="86"/>
        <v>0</v>
      </c>
      <c r="Q1384" s="595"/>
      <c r="R1384" s="484"/>
      <c r="S1384" s="595"/>
      <c r="T1384" s="595"/>
      <c r="U1384" s="595"/>
    </row>
    <row r="1385" spans="2:21" s="485" customFormat="1" ht="14.1" hidden="1" customHeight="1">
      <c r="B1385" s="951"/>
      <c r="C1385" s="596" t="s">
        <v>214</v>
      </c>
      <c r="D1385" s="603" t="s">
        <v>63</v>
      </c>
      <c r="E1385" s="710" t="s">
        <v>64</v>
      </c>
      <c r="F1385" s="710"/>
      <c r="G1385" s="605" t="s">
        <v>66</v>
      </c>
      <c r="H1385" s="711">
        <v>8.1000000000000003E-2</v>
      </c>
      <c r="I1385" s="491">
        <f>'UPH-TNG'!$I$15</f>
        <v>92000</v>
      </c>
      <c r="J1385" s="491">
        <f>ROUND(H1385*I1385,2)</f>
        <v>7452</v>
      </c>
      <c r="K1385" s="492"/>
      <c r="L1385" s="493">
        <v>1</v>
      </c>
      <c r="M1385" s="493" t="s">
        <v>422</v>
      </c>
      <c r="N1385" s="491">
        <f t="shared" si="86"/>
        <v>7452</v>
      </c>
      <c r="Q1385" s="595"/>
      <c r="R1385" s="484"/>
      <c r="S1385" s="595"/>
      <c r="T1385" s="595"/>
      <c r="U1385" s="595"/>
    </row>
    <row r="1386" spans="2:21" s="485" customFormat="1" ht="14.1" hidden="1" customHeight="1">
      <c r="B1386" s="951"/>
      <c r="C1386" s="598"/>
      <c r="D1386" s="607"/>
      <c r="E1386" s="710" t="s">
        <v>125</v>
      </c>
      <c r="F1386" s="710"/>
      <c r="G1386" s="605" t="s">
        <v>66</v>
      </c>
      <c r="H1386" s="711">
        <v>0.13500000000000001</v>
      </c>
      <c r="I1386" s="491">
        <f>'UPH-TNG'!$I$21</f>
        <v>95000</v>
      </c>
      <c r="J1386" s="491">
        <f>ROUND(H1386*I1386,2)</f>
        <v>12825</v>
      </c>
      <c r="K1386" s="496"/>
      <c r="L1386" s="493">
        <v>1</v>
      </c>
      <c r="M1386" s="493" t="s">
        <v>422</v>
      </c>
      <c r="N1386" s="491">
        <f t="shared" si="86"/>
        <v>12825</v>
      </c>
      <c r="Q1386" s="595"/>
      <c r="R1386" s="484"/>
      <c r="S1386" s="595"/>
      <c r="T1386" s="595"/>
      <c r="U1386" s="595"/>
    </row>
    <row r="1387" spans="2:21" s="485" customFormat="1" ht="14.1" hidden="1" customHeight="1">
      <c r="B1387" s="951"/>
      <c r="C1387" s="598"/>
      <c r="D1387" s="607"/>
      <c r="E1387" s="710" t="s">
        <v>238</v>
      </c>
      <c r="F1387" s="710"/>
      <c r="G1387" s="605" t="s">
        <v>66</v>
      </c>
      <c r="H1387" s="716">
        <v>1.35E-2</v>
      </c>
      <c r="I1387" s="491">
        <f>'UPH-TNG'!$I$16</f>
        <v>104000</v>
      </c>
      <c r="J1387" s="491">
        <f>ROUND(H1387*I1387,2)</f>
        <v>1404</v>
      </c>
      <c r="K1387" s="496"/>
      <c r="L1387" s="493">
        <v>1</v>
      </c>
      <c r="M1387" s="493" t="s">
        <v>422</v>
      </c>
      <c r="N1387" s="491">
        <f t="shared" si="86"/>
        <v>1404</v>
      </c>
      <c r="Q1387" s="595"/>
      <c r="R1387" s="484"/>
      <c r="S1387" s="595"/>
      <c r="T1387" s="595"/>
      <c r="U1387" s="595"/>
    </row>
    <row r="1388" spans="2:21" s="485" customFormat="1" ht="14.1" hidden="1" customHeight="1">
      <c r="B1388" s="951"/>
      <c r="C1388" s="598"/>
      <c r="D1388" s="607"/>
      <c r="E1388" s="710" t="s">
        <v>65</v>
      </c>
      <c r="F1388" s="710"/>
      <c r="G1388" s="605" t="s">
        <v>66</v>
      </c>
      <c r="H1388" s="711">
        <v>4.0000000000000001E-3</v>
      </c>
      <c r="I1388" s="491">
        <f>'UPH-TNG'!$I$20</f>
        <v>98000</v>
      </c>
      <c r="J1388" s="491">
        <f>ROUND(H1388*I1388,2)</f>
        <v>392</v>
      </c>
      <c r="K1388" s="607"/>
      <c r="L1388" s="493">
        <v>1</v>
      </c>
      <c r="M1388" s="493" t="s">
        <v>422</v>
      </c>
      <c r="N1388" s="491">
        <f t="shared" si="86"/>
        <v>392</v>
      </c>
      <c r="Q1388" s="595"/>
      <c r="R1388" s="484"/>
      <c r="S1388" s="595"/>
      <c r="T1388" s="595"/>
      <c r="U1388" s="595"/>
    </row>
    <row r="1389" spans="2:21" s="485" customFormat="1" ht="14.1" hidden="1" customHeight="1">
      <c r="B1389" s="951"/>
      <c r="C1389" s="600"/>
      <c r="D1389" s="602"/>
      <c r="E1389" s="612"/>
      <c r="F1389" s="613"/>
      <c r="G1389" s="610"/>
      <c r="H1389" s="614"/>
      <c r="I1389" s="504"/>
      <c r="J1389" s="495"/>
      <c r="K1389" s="494">
        <f>SUM(J1385:J1388)</f>
        <v>22073</v>
      </c>
      <c r="L1389" s="493"/>
      <c r="M1389" s="494"/>
      <c r="N1389" s="491">
        <f t="shared" si="86"/>
        <v>0</v>
      </c>
      <c r="Q1389" s="595"/>
      <c r="R1389" s="484"/>
      <c r="S1389" s="595"/>
      <c r="T1389" s="595"/>
      <c r="U1389" s="595"/>
    </row>
    <row r="1390" spans="2:21" s="485" customFormat="1" ht="14.1" hidden="1" customHeight="1">
      <c r="B1390" s="951"/>
      <c r="C1390" s="596" t="s">
        <v>215</v>
      </c>
      <c r="D1390" s="603" t="s">
        <v>212</v>
      </c>
      <c r="E1390" s="615"/>
      <c r="F1390" s="615"/>
      <c r="G1390" s="605"/>
      <c r="H1390" s="616"/>
      <c r="I1390" s="617"/>
      <c r="J1390" s="491"/>
      <c r="K1390" s="492"/>
      <c r="L1390" s="493"/>
      <c r="M1390" s="494"/>
      <c r="N1390" s="491">
        <f t="shared" si="86"/>
        <v>0</v>
      </c>
      <c r="Q1390" s="595"/>
      <c r="R1390" s="484"/>
      <c r="S1390" s="595"/>
      <c r="T1390" s="595"/>
      <c r="U1390" s="595"/>
    </row>
    <row r="1391" spans="2:21" s="485" customFormat="1" ht="14.1" hidden="1" customHeight="1">
      <c r="B1391" s="951"/>
      <c r="C1391" s="600"/>
      <c r="D1391" s="602"/>
      <c r="E1391" s="612"/>
      <c r="F1391" s="613"/>
      <c r="G1391" s="610"/>
      <c r="H1391" s="614"/>
      <c r="I1391" s="618"/>
      <c r="J1391" s="495"/>
      <c r="K1391" s="494">
        <f>SUM(J1390:J1390)</f>
        <v>0</v>
      </c>
      <c r="L1391" s="493"/>
      <c r="M1391" s="494"/>
      <c r="N1391" s="491">
        <f t="shared" si="86"/>
        <v>0</v>
      </c>
      <c r="Q1391" s="595"/>
      <c r="R1391" s="484"/>
      <c r="S1391" s="595"/>
      <c r="T1391" s="595"/>
      <c r="U1391" s="595"/>
    </row>
    <row r="1392" spans="2:21" s="485" customFormat="1" ht="14.1" hidden="1" customHeight="1">
      <c r="B1392" s="951"/>
      <c r="C1392" s="605" t="s">
        <v>216</v>
      </c>
      <c r="D1392" s="619" t="s">
        <v>219</v>
      </c>
      <c r="E1392" s="613"/>
      <c r="F1392" s="613"/>
      <c r="G1392" s="610"/>
      <c r="H1392" s="614"/>
      <c r="I1392" s="618"/>
      <c r="J1392" s="497" t="s">
        <v>220</v>
      </c>
      <c r="K1392" s="494">
        <f>K1384+K1389+K1391</f>
        <v>603323</v>
      </c>
      <c r="L1392" s="620">
        <f>N1392/K1392</f>
        <v>0.89981734493795196</v>
      </c>
      <c r="M1392" s="497"/>
      <c r="N1392" s="498">
        <f>SUM(N1381:N1391)</f>
        <v>542880.5</v>
      </c>
      <c r="Q1392" s="595"/>
      <c r="R1392" s="484"/>
      <c r="S1392" s="595"/>
      <c r="T1392" s="595"/>
      <c r="U1392" s="595"/>
    </row>
    <row r="1393" spans="2:21" s="485" customFormat="1" ht="14.1" hidden="1" customHeight="1">
      <c r="B1393" s="951"/>
      <c r="C1393" s="605" t="s">
        <v>217</v>
      </c>
      <c r="D1393" s="619" t="s">
        <v>221</v>
      </c>
      <c r="E1393" s="613"/>
      <c r="F1393" s="499">
        <f>$F$48</f>
        <v>0.1</v>
      </c>
      <c r="G1393" s="605" t="s">
        <v>168</v>
      </c>
      <c r="H1393" s="499">
        <f>$H$48</f>
        <v>0.02</v>
      </c>
      <c r="I1393" s="621" t="s">
        <v>167</v>
      </c>
      <c r="J1393" s="494" t="s">
        <v>216</v>
      </c>
      <c r="K1393" s="500">
        <f>ROUND((K1392*(F1393+H1393)),2)</f>
        <v>72398.759999999995</v>
      </c>
      <c r="L1393" s="494"/>
      <c r="M1393" s="494"/>
      <c r="N1393" s="494"/>
      <c r="Q1393" s="595"/>
      <c r="R1393" s="484"/>
      <c r="S1393" s="595"/>
      <c r="T1393" s="595"/>
      <c r="U1393" s="595"/>
    </row>
    <row r="1394" spans="2:21" s="485" customFormat="1" ht="14.1" hidden="1" customHeight="1">
      <c r="B1394" s="951"/>
      <c r="C1394" s="622" t="s">
        <v>222</v>
      </c>
      <c r="D1394" s="623" t="s">
        <v>76</v>
      </c>
      <c r="E1394" s="624"/>
      <c r="F1394" s="624"/>
      <c r="G1394" s="624"/>
      <c r="H1394" s="625"/>
      <c r="I1394" s="624"/>
      <c r="J1394" s="626" t="s">
        <v>226</v>
      </c>
      <c r="K1394" s="627">
        <f>SUM(K1392:K1393)</f>
        <v>675721.76</v>
      </c>
      <c r="L1394" s="620"/>
      <c r="M1394" s="626"/>
      <c r="N1394" s="635"/>
      <c r="Q1394" s="595"/>
      <c r="R1394" s="484"/>
      <c r="S1394" s="595"/>
      <c r="T1394" s="595"/>
      <c r="U1394" s="595"/>
    </row>
    <row r="1395" spans="2:21" hidden="1">
      <c r="Q1395" s="595"/>
      <c r="R1395" s="484"/>
      <c r="S1395" s="595"/>
      <c r="T1395" s="595"/>
      <c r="U1395" s="595"/>
    </row>
    <row r="1396" spans="2:21" s="485" customFormat="1" ht="14.1" hidden="1" customHeight="1">
      <c r="B1396" s="951">
        <f>B1377+1</f>
        <v>71</v>
      </c>
      <c r="C1396" s="488"/>
      <c r="D1396" s="709" t="s">
        <v>382</v>
      </c>
      <c r="H1396" s="488"/>
      <c r="K1396" s="591" t="s">
        <v>255</v>
      </c>
      <c r="L1396" s="591"/>
      <c r="M1396" s="591"/>
      <c r="N1396" s="591"/>
      <c r="O1396" s="485" t="str">
        <f>D1397</f>
        <v>bh</v>
      </c>
      <c r="P1396" s="636">
        <f>K1413</f>
        <v>796152</v>
      </c>
      <c r="Q1396" s="593">
        <f>L1411</f>
        <v>5.0432580713230639E-2</v>
      </c>
      <c r="R1396" s="484">
        <f>N1411</f>
        <v>35850</v>
      </c>
      <c r="S1396" s="594"/>
      <c r="T1396" s="484"/>
      <c r="U1396" s="593"/>
    </row>
    <row r="1397" spans="2:21" s="485" customFormat="1" ht="14.1" hidden="1" customHeight="1">
      <c r="B1397" s="951"/>
      <c r="C1397" s="488"/>
      <c r="D1397" s="485" t="s">
        <v>45</v>
      </c>
      <c r="H1397" s="488"/>
      <c r="Q1397" s="595"/>
      <c r="R1397" s="484"/>
      <c r="S1397" s="595"/>
      <c r="T1397" s="595"/>
      <c r="U1397" s="595"/>
    </row>
    <row r="1398" spans="2:21" s="485" customFormat="1" ht="14.1" hidden="1" customHeight="1">
      <c r="B1398" s="951"/>
      <c r="C1398" s="596"/>
      <c r="D1398" s="975" t="s">
        <v>55</v>
      </c>
      <c r="E1398" s="976"/>
      <c r="F1398" s="597"/>
      <c r="G1398" s="974" t="s">
        <v>56</v>
      </c>
      <c r="H1398" s="974" t="s">
        <v>57</v>
      </c>
      <c r="I1398" s="596" t="s">
        <v>58</v>
      </c>
      <c r="J1398" s="596" t="s">
        <v>59</v>
      </c>
      <c r="K1398" s="596" t="s">
        <v>102</v>
      </c>
      <c r="L1398" s="596" t="s">
        <v>418</v>
      </c>
      <c r="M1398" s="596" t="s">
        <v>419</v>
      </c>
      <c r="N1398" s="596" t="s">
        <v>59</v>
      </c>
      <c r="Q1398" s="595"/>
      <c r="R1398" s="484"/>
      <c r="S1398" s="595"/>
      <c r="T1398" s="595"/>
      <c r="U1398" s="595"/>
    </row>
    <row r="1399" spans="2:21" s="485" customFormat="1" ht="14.1" hidden="1" customHeight="1">
      <c r="B1399" s="951"/>
      <c r="C1399" s="598" t="s">
        <v>227</v>
      </c>
      <c r="D1399" s="967"/>
      <c r="E1399" s="968"/>
      <c r="F1399" s="599"/>
      <c r="G1399" s="972"/>
      <c r="H1399" s="972"/>
      <c r="I1399" s="598" t="s">
        <v>60</v>
      </c>
      <c r="J1399" s="598" t="s">
        <v>61</v>
      </c>
      <c r="K1399" s="598" t="s">
        <v>61</v>
      </c>
      <c r="L1399" s="598" t="s">
        <v>421</v>
      </c>
      <c r="M1399" s="598"/>
      <c r="N1399" s="598" t="s">
        <v>423</v>
      </c>
      <c r="Q1399" s="595"/>
      <c r="R1399" s="484"/>
      <c r="S1399" s="595"/>
      <c r="T1399" s="595"/>
      <c r="U1399" s="595"/>
    </row>
    <row r="1400" spans="2:21" s="485" customFormat="1" ht="14.1" hidden="1" customHeight="1">
      <c r="B1400" s="951"/>
      <c r="C1400" s="600"/>
      <c r="D1400" s="969"/>
      <c r="E1400" s="970"/>
      <c r="F1400" s="601"/>
      <c r="G1400" s="973"/>
      <c r="H1400" s="973"/>
      <c r="I1400" s="600" t="s">
        <v>61</v>
      </c>
      <c r="J1400" s="602"/>
      <c r="K1400" s="602"/>
      <c r="L1400" s="602"/>
      <c r="M1400" s="602"/>
      <c r="N1400" s="600" t="s">
        <v>61</v>
      </c>
      <c r="Q1400" s="595"/>
      <c r="R1400" s="484"/>
      <c r="S1400" s="595"/>
      <c r="T1400" s="595"/>
      <c r="U1400" s="595"/>
    </row>
    <row r="1401" spans="2:21" s="485" customFormat="1" ht="14.1" hidden="1" customHeight="1">
      <c r="B1401" s="951"/>
      <c r="C1401" s="596" t="s">
        <v>213</v>
      </c>
      <c r="D1401" s="603" t="s">
        <v>62</v>
      </c>
      <c r="E1401" s="710" t="s">
        <v>188</v>
      </c>
      <c r="F1401" s="710"/>
      <c r="G1401" s="605" t="s">
        <v>51</v>
      </c>
      <c r="H1401" s="711">
        <v>1</v>
      </c>
      <c r="I1401" s="491">
        <f>'UPH-TNG'!$I$142</f>
        <v>500000</v>
      </c>
      <c r="J1401" s="491">
        <f>ROUND(H1401*I1401,2)</f>
        <v>500000</v>
      </c>
      <c r="K1401" s="492"/>
      <c r="L1401" s="493">
        <v>0</v>
      </c>
      <c r="M1401" s="494"/>
      <c r="N1401" s="491">
        <f t="shared" ref="N1401:N1410" si="87">L1401*J1401</f>
        <v>0</v>
      </c>
      <c r="Q1401" s="595"/>
      <c r="R1401" s="484"/>
      <c r="S1401" s="595"/>
      <c r="T1401" s="595"/>
      <c r="U1401" s="595"/>
    </row>
    <row r="1402" spans="2:21" s="485" customFormat="1" ht="14.1" hidden="1" customHeight="1">
      <c r="B1402" s="951"/>
      <c r="C1402" s="598"/>
      <c r="D1402" s="607"/>
      <c r="E1402" s="710" t="s">
        <v>189</v>
      </c>
      <c r="F1402" s="710"/>
      <c r="G1402" s="605" t="s">
        <v>29</v>
      </c>
      <c r="H1402" s="711">
        <v>1</v>
      </c>
      <c r="I1402" s="491">
        <f>I1401*0.35</f>
        <v>175000</v>
      </c>
      <c r="J1402" s="491">
        <f>ROUND(H1402*I1402,2)</f>
        <v>175000</v>
      </c>
      <c r="K1402" s="511"/>
      <c r="L1402" s="493">
        <v>0</v>
      </c>
      <c r="M1402" s="494"/>
      <c r="N1402" s="491">
        <f t="shared" si="87"/>
        <v>0</v>
      </c>
      <c r="Q1402" s="595"/>
      <c r="R1402" s="484"/>
      <c r="S1402" s="595"/>
      <c r="T1402" s="595"/>
      <c r="U1402" s="595"/>
    </row>
    <row r="1403" spans="2:21" s="485" customFormat="1" ht="14.1" hidden="1" customHeight="1">
      <c r="B1403" s="951"/>
      <c r="C1403" s="600"/>
      <c r="D1403" s="607"/>
      <c r="E1403" s="712"/>
      <c r="F1403" s="713"/>
      <c r="G1403" s="610"/>
      <c r="H1403" s="714"/>
      <c r="I1403" s="504"/>
      <c r="J1403" s="495"/>
      <c r="K1403" s="491">
        <f>SUM(J1401:J1402)</f>
        <v>675000</v>
      </c>
      <c r="L1403" s="493"/>
      <c r="M1403" s="494"/>
      <c r="N1403" s="491">
        <f t="shared" si="87"/>
        <v>0</v>
      </c>
      <c r="Q1403" s="595"/>
      <c r="R1403" s="484"/>
      <c r="S1403" s="595"/>
      <c r="T1403" s="595"/>
      <c r="U1403" s="595"/>
    </row>
    <row r="1404" spans="2:21" s="485" customFormat="1" ht="14.1" hidden="1" customHeight="1">
      <c r="B1404" s="951"/>
      <c r="C1404" s="596" t="s">
        <v>214</v>
      </c>
      <c r="D1404" s="603" t="s">
        <v>63</v>
      </c>
      <c r="E1404" s="710" t="s">
        <v>64</v>
      </c>
      <c r="F1404" s="710"/>
      <c r="G1404" s="605" t="s">
        <v>66</v>
      </c>
      <c r="H1404" s="711">
        <v>0.03</v>
      </c>
      <c r="I1404" s="491">
        <f>'UPH-TNG'!$I$15</f>
        <v>92000</v>
      </c>
      <c r="J1404" s="491">
        <f>ROUND(H1404*I1404,2)</f>
        <v>2760</v>
      </c>
      <c r="K1404" s="492"/>
      <c r="L1404" s="493">
        <v>1</v>
      </c>
      <c r="M1404" s="493" t="s">
        <v>422</v>
      </c>
      <c r="N1404" s="491">
        <f t="shared" si="87"/>
        <v>2760</v>
      </c>
      <c r="Q1404" s="595"/>
      <c r="R1404" s="484"/>
      <c r="S1404" s="595"/>
      <c r="T1404" s="595"/>
      <c r="U1404" s="595"/>
    </row>
    <row r="1405" spans="2:21" s="485" customFormat="1" ht="14.1" hidden="1" customHeight="1">
      <c r="B1405" s="951"/>
      <c r="C1405" s="598"/>
      <c r="D1405" s="607"/>
      <c r="E1405" s="710" t="s">
        <v>125</v>
      </c>
      <c r="F1405" s="710"/>
      <c r="G1405" s="605" t="s">
        <v>66</v>
      </c>
      <c r="H1405" s="711">
        <v>0.3</v>
      </c>
      <c r="I1405" s="491">
        <f>'UPH-TNG'!$I$21</f>
        <v>95000</v>
      </c>
      <c r="J1405" s="491">
        <f>ROUND(H1405*I1405,2)</f>
        <v>28500</v>
      </c>
      <c r="K1405" s="496"/>
      <c r="L1405" s="493">
        <v>1</v>
      </c>
      <c r="M1405" s="493" t="s">
        <v>422</v>
      </c>
      <c r="N1405" s="491">
        <f t="shared" si="87"/>
        <v>28500</v>
      </c>
      <c r="Q1405" s="595"/>
      <c r="R1405" s="484"/>
      <c r="S1405" s="595"/>
      <c r="T1405" s="595"/>
      <c r="U1405" s="595"/>
    </row>
    <row r="1406" spans="2:21" s="485" customFormat="1" ht="14.1" hidden="1" customHeight="1">
      <c r="B1406" s="951"/>
      <c r="C1406" s="598"/>
      <c r="D1406" s="607"/>
      <c r="E1406" s="710" t="s">
        <v>124</v>
      </c>
      <c r="F1406" s="710"/>
      <c r="G1406" s="605" t="s">
        <v>66</v>
      </c>
      <c r="H1406" s="711">
        <v>0.03</v>
      </c>
      <c r="I1406" s="491">
        <f>'UPH-TNG'!$I$16</f>
        <v>104000</v>
      </c>
      <c r="J1406" s="491">
        <f>ROUND(H1406*I1406,2)</f>
        <v>3120</v>
      </c>
      <c r="K1406" s="496"/>
      <c r="L1406" s="493">
        <v>1</v>
      </c>
      <c r="M1406" s="493" t="s">
        <v>422</v>
      </c>
      <c r="N1406" s="491">
        <f t="shared" si="87"/>
        <v>3120</v>
      </c>
      <c r="Q1406" s="595"/>
      <c r="R1406" s="484"/>
      <c r="S1406" s="595"/>
      <c r="T1406" s="595"/>
      <c r="U1406" s="595"/>
    </row>
    <row r="1407" spans="2:21" s="485" customFormat="1" ht="14.1" hidden="1" customHeight="1">
      <c r="B1407" s="951"/>
      <c r="C1407" s="598"/>
      <c r="D1407" s="607"/>
      <c r="E1407" s="710" t="s">
        <v>65</v>
      </c>
      <c r="F1407" s="710"/>
      <c r="G1407" s="605" t="s">
        <v>66</v>
      </c>
      <c r="H1407" s="711">
        <v>1.4999999999999999E-2</v>
      </c>
      <c r="I1407" s="491">
        <f>'UPH-TNG'!$I$20</f>
        <v>98000</v>
      </c>
      <c r="J1407" s="491">
        <f>ROUND(H1407*I1407,2)</f>
        <v>1470</v>
      </c>
      <c r="K1407" s="607"/>
      <c r="L1407" s="493">
        <v>1</v>
      </c>
      <c r="M1407" s="493" t="s">
        <v>422</v>
      </c>
      <c r="N1407" s="491">
        <f t="shared" si="87"/>
        <v>1470</v>
      </c>
      <c r="Q1407" s="595"/>
      <c r="R1407" s="484"/>
      <c r="S1407" s="595"/>
      <c r="T1407" s="595"/>
      <c r="U1407" s="595"/>
    </row>
    <row r="1408" spans="2:21" s="485" customFormat="1" ht="14.1" hidden="1" customHeight="1">
      <c r="B1408" s="951"/>
      <c r="C1408" s="600"/>
      <c r="D1408" s="602"/>
      <c r="E1408" s="612"/>
      <c r="F1408" s="613"/>
      <c r="G1408" s="610"/>
      <c r="H1408" s="614"/>
      <c r="I1408" s="504"/>
      <c r="J1408" s="495"/>
      <c r="K1408" s="494">
        <f>SUM(J1404:J1407)</f>
        <v>35850</v>
      </c>
      <c r="L1408" s="493"/>
      <c r="M1408" s="494"/>
      <c r="N1408" s="491">
        <f t="shared" si="87"/>
        <v>0</v>
      </c>
      <c r="Q1408" s="595"/>
      <c r="R1408" s="484"/>
      <c r="S1408" s="595"/>
      <c r="T1408" s="595"/>
      <c r="U1408" s="595"/>
    </row>
    <row r="1409" spans="2:21" s="485" customFormat="1" ht="14.1" hidden="1" customHeight="1">
      <c r="B1409" s="951"/>
      <c r="C1409" s="596" t="s">
        <v>215</v>
      </c>
      <c r="D1409" s="603" t="s">
        <v>212</v>
      </c>
      <c r="E1409" s="615"/>
      <c r="F1409" s="615"/>
      <c r="G1409" s="605"/>
      <c r="H1409" s="616"/>
      <c r="I1409" s="617"/>
      <c r="J1409" s="491"/>
      <c r="K1409" s="492"/>
      <c r="L1409" s="493"/>
      <c r="M1409" s="494"/>
      <c r="N1409" s="491">
        <f t="shared" si="87"/>
        <v>0</v>
      </c>
      <c r="Q1409" s="595"/>
      <c r="R1409" s="484"/>
      <c r="S1409" s="595"/>
      <c r="T1409" s="595"/>
      <c r="U1409" s="595"/>
    </row>
    <row r="1410" spans="2:21" s="485" customFormat="1" ht="14.1" hidden="1" customHeight="1">
      <c r="B1410" s="951"/>
      <c r="C1410" s="600"/>
      <c r="D1410" s="602"/>
      <c r="E1410" s="612"/>
      <c r="F1410" s="613"/>
      <c r="G1410" s="610"/>
      <c r="H1410" s="614"/>
      <c r="I1410" s="618"/>
      <c r="J1410" s="495"/>
      <c r="K1410" s="494">
        <f>SUM(J1409:J1409)</f>
        <v>0</v>
      </c>
      <c r="L1410" s="493"/>
      <c r="M1410" s="494"/>
      <c r="N1410" s="491">
        <f t="shared" si="87"/>
        <v>0</v>
      </c>
      <c r="Q1410" s="595"/>
      <c r="R1410" s="484"/>
      <c r="S1410" s="595"/>
      <c r="T1410" s="595"/>
      <c r="U1410" s="595"/>
    </row>
    <row r="1411" spans="2:21" s="485" customFormat="1" ht="14.1" hidden="1" customHeight="1">
      <c r="B1411" s="951"/>
      <c r="C1411" s="605" t="s">
        <v>216</v>
      </c>
      <c r="D1411" s="619" t="s">
        <v>219</v>
      </c>
      <c r="E1411" s="613"/>
      <c r="F1411" s="613"/>
      <c r="G1411" s="610"/>
      <c r="H1411" s="614"/>
      <c r="I1411" s="618"/>
      <c r="J1411" s="497" t="s">
        <v>220</v>
      </c>
      <c r="K1411" s="494">
        <f>K1403+K1408+K1410</f>
        <v>710850</v>
      </c>
      <c r="L1411" s="620">
        <f>N1411/K1411</f>
        <v>5.0432580713230639E-2</v>
      </c>
      <c r="M1411" s="497"/>
      <c r="N1411" s="498">
        <f>SUM(N1400:N1410)</f>
        <v>35850</v>
      </c>
      <c r="Q1411" s="595"/>
      <c r="R1411" s="484"/>
      <c r="S1411" s="595"/>
      <c r="T1411" s="595"/>
      <c r="U1411" s="595"/>
    </row>
    <row r="1412" spans="2:21" s="485" customFormat="1" ht="14.1" hidden="1" customHeight="1">
      <c r="B1412" s="951"/>
      <c r="C1412" s="605" t="s">
        <v>217</v>
      </c>
      <c r="D1412" s="619" t="s">
        <v>221</v>
      </c>
      <c r="E1412" s="613"/>
      <c r="F1412" s="499">
        <f>$F$48</f>
        <v>0.1</v>
      </c>
      <c r="G1412" s="605" t="s">
        <v>168</v>
      </c>
      <c r="H1412" s="499">
        <f>$H$48</f>
        <v>0.02</v>
      </c>
      <c r="I1412" s="621" t="s">
        <v>167</v>
      </c>
      <c r="J1412" s="494" t="s">
        <v>216</v>
      </c>
      <c r="K1412" s="500">
        <f>ROUND((K1411*(F1412+H1412)),2)</f>
        <v>85302</v>
      </c>
      <c r="L1412" s="494"/>
      <c r="M1412" s="494"/>
      <c r="N1412" s="494"/>
      <c r="Q1412" s="595"/>
      <c r="R1412" s="484"/>
      <c r="S1412" s="595"/>
      <c r="T1412" s="595"/>
      <c r="U1412" s="595"/>
    </row>
    <row r="1413" spans="2:21" s="485" customFormat="1" ht="14.1" hidden="1" customHeight="1">
      <c r="B1413" s="951"/>
      <c r="C1413" s="622" t="s">
        <v>222</v>
      </c>
      <c r="D1413" s="623" t="s">
        <v>76</v>
      </c>
      <c r="E1413" s="624"/>
      <c r="F1413" s="624"/>
      <c r="G1413" s="624"/>
      <c r="H1413" s="625"/>
      <c r="I1413" s="624"/>
      <c r="J1413" s="626" t="s">
        <v>226</v>
      </c>
      <c r="K1413" s="627">
        <f>SUM(K1411:K1412)</f>
        <v>796152</v>
      </c>
      <c r="L1413" s="620"/>
      <c r="M1413" s="626"/>
      <c r="N1413" s="635"/>
      <c r="Q1413" s="595"/>
      <c r="R1413" s="484"/>
      <c r="S1413" s="595"/>
      <c r="T1413" s="595"/>
      <c r="U1413" s="595"/>
    </row>
    <row r="1414" spans="2:21" hidden="1">
      <c r="Q1414" s="595"/>
      <c r="R1414" s="484"/>
      <c r="S1414" s="595"/>
      <c r="T1414" s="595"/>
      <c r="U1414" s="595"/>
    </row>
    <row r="1415" spans="2:21" s="485" customFormat="1" ht="14.1" customHeight="1">
      <c r="B1415" s="951">
        <f>B1396+1</f>
        <v>72</v>
      </c>
      <c r="C1415" s="488"/>
      <c r="D1415" s="709" t="s">
        <v>505</v>
      </c>
      <c r="H1415" s="488"/>
      <c r="K1415" s="591" t="s">
        <v>254</v>
      </c>
      <c r="L1415" s="591"/>
      <c r="M1415" s="591"/>
      <c r="N1415" s="591"/>
      <c r="O1415" s="485" t="str">
        <f>D1416</f>
        <v>bh</v>
      </c>
      <c r="P1415" s="636">
        <f>K1432</f>
        <v>172158</v>
      </c>
      <c r="Q1415" s="593">
        <f>L1430</f>
        <v>0.95427502642921036</v>
      </c>
      <c r="R1415" s="484">
        <f>N1430</f>
        <v>146684</v>
      </c>
      <c r="S1415" s="594"/>
      <c r="T1415" s="484"/>
      <c r="U1415" s="593"/>
    </row>
    <row r="1416" spans="2:21" s="485" customFormat="1" ht="14.1" customHeight="1">
      <c r="B1416" s="951"/>
      <c r="C1416" s="488"/>
      <c r="D1416" s="485" t="s">
        <v>45</v>
      </c>
      <c r="H1416" s="488"/>
      <c r="Q1416" s="595"/>
      <c r="R1416" s="484"/>
      <c r="S1416" s="595"/>
      <c r="T1416" s="595"/>
      <c r="U1416" s="595"/>
    </row>
    <row r="1417" spans="2:21" s="485" customFormat="1" ht="14.1" customHeight="1">
      <c r="B1417" s="951"/>
      <c r="C1417" s="596"/>
      <c r="D1417" s="977" t="s">
        <v>55</v>
      </c>
      <c r="E1417" s="978"/>
      <c r="F1417" s="597"/>
      <c r="G1417" s="981" t="s">
        <v>56</v>
      </c>
      <c r="H1417" s="981" t="s">
        <v>57</v>
      </c>
      <c r="I1417" s="596" t="s">
        <v>58</v>
      </c>
      <c r="J1417" s="596" t="s">
        <v>59</v>
      </c>
      <c r="K1417" s="596" t="s">
        <v>102</v>
      </c>
      <c r="L1417" s="596" t="s">
        <v>418</v>
      </c>
      <c r="M1417" s="596" t="s">
        <v>419</v>
      </c>
      <c r="N1417" s="596" t="s">
        <v>59</v>
      </c>
      <c r="Q1417" s="595"/>
      <c r="R1417" s="484"/>
      <c r="S1417" s="595"/>
      <c r="T1417" s="595"/>
      <c r="U1417" s="595"/>
    </row>
    <row r="1418" spans="2:21" s="485" customFormat="1" ht="14.1" customHeight="1">
      <c r="B1418" s="951"/>
      <c r="C1418" s="598" t="s">
        <v>227</v>
      </c>
      <c r="D1418" s="979"/>
      <c r="E1418" s="980"/>
      <c r="F1418" s="599"/>
      <c r="G1418" s="982"/>
      <c r="H1418" s="982"/>
      <c r="I1418" s="598" t="s">
        <v>60</v>
      </c>
      <c r="J1418" s="598" t="s">
        <v>61</v>
      </c>
      <c r="K1418" s="598" t="s">
        <v>61</v>
      </c>
      <c r="L1418" s="598" t="s">
        <v>421</v>
      </c>
      <c r="M1418" s="598"/>
      <c r="N1418" s="598" t="s">
        <v>423</v>
      </c>
      <c r="Q1418" s="595"/>
      <c r="R1418" s="484"/>
      <c r="S1418" s="595"/>
      <c r="T1418" s="595"/>
      <c r="U1418" s="595"/>
    </row>
    <row r="1419" spans="2:21" s="485" customFormat="1" ht="14.1" customHeight="1">
      <c r="B1419" s="951"/>
      <c r="C1419" s="600"/>
      <c r="D1419" s="969"/>
      <c r="E1419" s="970"/>
      <c r="F1419" s="601"/>
      <c r="G1419" s="973"/>
      <c r="H1419" s="973"/>
      <c r="I1419" s="600" t="s">
        <v>61</v>
      </c>
      <c r="J1419" s="602"/>
      <c r="K1419" s="602"/>
      <c r="L1419" s="602"/>
      <c r="M1419" s="602"/>
      <c r="N1419" s="600" t="s">
        <v>61</v>
      </c>
      <c r="Q1419" s="595"/>
      <c r="R1419" s="484"/>
      <c r="S1419" s="595"/>
      <c r="T1419" s="595"/>
      <c r="U1419" s="595"/>
    </row>
    <row r="1420" spans="2:21" s="485" customFormat="1" ht="14.1" customHeight="1">
      <c r="B1420" s="951"/>
      <c r="C1420" s="596" t="s">
        <v>213</v>
      </c>
      <c r="D1420" s="603" t="s">
        <v>62</v>
      </c>
      <c r="E1420" s="710" t="s">
        <v>370</v>
      </c>
      <c r="F1420" s="710"/>
      <c r="G1420" s="605" t="s">
        <v>45</v>
      </c>
      <c r="H1420" s="711">
        <v>1</v>
      </c>
      <c r="I1420" s="491">
        <f>'UPH-TNG'!$I$84</f>
        <v>110000</v>
      </c>
      <c r="J1420" s="491">
        <f>ROUND(H1420*I1420,2)</f>
        <v>110000</v>
      </c>
      <c r="K1420" s="492"/>
      <c r="L1420" s="501">
        <v>0.93740000000000001</v>
      </c>
      <c r="M1420" s="494" t="s">
        <v>429</v>
      </c>
      <c r="N1420" s="491">
        <f t="shared" ref="N1420:N1429" si="88">L1420*J1420</f>
        <v>103114</v>
      </c>
      <c r="Q1420" s="595"/>
      <c r="R1420" s="484"/>
      <c r="S1420" s="595"/>
      <c r="T1420" s="595"/>
      <c r="U1420" s="595"/>
    </row>
    <row r="1421" spans="2:21" s="485" customFormat="1" ht="14.1" customHeight="1">
      <c r="B1421" s="951"/>
      <c r="C1421" s="598"/>
      <c r="D1421" s="607"/>
      <c r="E1421" s="710" t="s">
        <v>138</v>
      </c>
      <c r="F1421" s="710"/>
      <c r="G1421" s="605" t="s">
        <v>45</v>
      </c>
      <c r="H1421" s="711">
        <v>2.5000000000000001E-2</v>
      </c>
      <c r="I1421" s="491">
        <f>'UPH-TNG'!$I$132</f>
        <v>5700</v>
      </c>
      <c r="J1421" s="491">
        <f>ROUND(H1421*I1421,2)</f>
        <v>142.5</v>
      </c>
      <c r="K1421" s="511"/>
      <c r="L1421" s="493">
        <v>0</v>
      </c>
      <c r="M1421" s="494"/>
      <c r="N1421" s="491">
        <f t="shared" si="88"/>
        <v>0</v>
      </c>
      <c r="Q1421" s="595"/>
      <c r="R1421" s="484"/>
      <c r="S1421" s="595"/>
      <c r="T1421" s="595"/>
      <c r="U1421" s="595"/>
    </row>
    <row r="1422" spans="2:21" s="485" customFormat="1" ht="14.1" customHeight="1">
      <c r="B1422" s="951"/>
      <c r="C1422" s="600"/>
      <c r="D1422" s="607"/>
      <c r="E1422" s="712"/>
      <c r="F1422" s="713"/>
      <c r="G1422" s="610"/>
      <c r="H1422" s="714"/>
      <c r="I1422" s="504"/>
      <c r="J1422" s="495"/>
      <c r="K1422" s="491">
        <f>SUM(J1420:J1421)</f>
        <v>110142.5</v>
      </c>
      <c r="L1422" s="493"/>
      <c r="M1422" s="494"/>
      <c r="N1422" s="491">
        <f t="shared" si="88"/>
        <v>0</v>
      </c>
      <c r="Q1422" s="595"/>
      <c r="R1422" s="484"/>
      <c r="S1422" s="595"/>
      <c r="T1422" s="595"/>
      <c r="U1422" s="595"/>
    </row>
    <row r="1423" spans="2:21" s="485" customFormat="1" ht="14.1" customHeight="1">
      <c r="B1423" s="951"/>
      <c r="C1423" s="596" t="s">
        <v>214</v>
      </c>
      <c r="D1423" s="603" t="s">
        <v>63</v>
      </c>
      <c r="E1423" s="710" t="s">
        <v>64</v>
      </c>
      <c r="F1423" s="710"/>
      <c r="G1423" s="605" t="s">
        <v>66</v>
      </c>
      <c r="H1423" s="711">
        <v>0.01</v>
      </c>
      <c r="I1423" s="491">
        <f>'UPH-TNG'!$I$15</f>
        <v>92000</v>
      </c>
      <c r="J1423" s="491">
        <f>ROUND(H1423*I1423,2)</f>
        <v>920</v>
      </c>
      <c r="K1423" s="492"/>
      <c r="L1423" s="493">
        <v>1</v>
      </c>
      <c r="M1423" s="493" t="s">
        <v>422</v>
      </c>
      <c r="N1423" s="491">
        <f t="shared" si="88"/>
        <v>920</v>
      </c>
      <c r="Q1423" s="595"/>
      <c r="R1423" s="484"/>
      <c r="S1423" s="595"/>
      <c r="T1423" s="595"/>
      <c r="U1423" s="595"/>
    </row>
    <row r="1424" spans="2:21" s="485" customFormat="1" ht="14.1" customHeight="1">
      <c r="B1424" s="951"/>
      <c r="C1424" s="598"/>
      <c r="D1424" s="607"/>
      <c r="E1424" s="710" t="s">
        <v>125</v>
      </c>
      <c r="F1424" s="710"/>
      <c r="G1424" s="605" t="s">
        <v>66</v>
      </c>
      <c r="H1424" s="711">
        <v>0.4</v>
      </c>
      <c r="I1424" s="491">
        <f>'UPH-TNG'!$I$21</f>
        <v>95000</v>
      </c>
      <c r="J1424" s="491">
        <f>ROUND(H1424*I1424,2)</f>
        <v>38000</v>
      </c>
      <c r="K1424" s="496"/>
      <c r="L1424" s="493">
        <v>1</v>
      </c>
      <c r="M1424" s="493" t="s">
        <v>422</v>
      </c>
      <c r="N1424" s="491">
        <f t="shared" si="88"/>
        <v>38000</v>
      </c>
      <c r="Q1424" s="595"/>
      <c r="R1424" s="484"/>
      <c r="S1424" s="595"/>
      <c r="T1424" s="595"/>
      <c r="U1424" s="595"/>
    </row>
    <row r="1425" spans="2:21" s="485" customFormat="1" ht="14.1" customHeight="1">
      <c r="B1425" s="951"/>
      <c r="C1425" s="598"/>
      <c r="D1425" s="607"/>
      <c r="E1425" s="710" t="s">
        <v>238</v>
      </c>
      <c r="F1425" s="710"/>
      <c r="G1425" s="605" t="s">
        <v>66</v>
      </c>
      <c r="H1425" s="711">
        <v>0.04</v>
      </c>
      <c r="I1425" s="491">
        <f>'UPH-TNG'!$I$16</f>
        <v>104000</v>
      </c>
      <c r="J1425" s="491">
        <f>ROUND(H1425*I1425,2)</f>
        <v>4160</v>
      </c>
      <c r="K1425" s="496"/>
      <c r="L1425" s="493">
        <v>1</v>
      </c>
      <c r="M1425" s="493" t="s">
        <v>422</v>
      </c>
      <c r="N1425" s="491">
        <f t="shared" si="88"/>
        <v>4160</v>
      </c>
      <c r="Q1425" s="595"/>
      <c r="R1425" s="484"/>
      <c r="S1425" s="595"/>
      <c r="T1425" s="595"/>
      <c r="U1425" s="595"/>
    </row>
    <row r="1426" spans="2:21" s="485" customFormat="1" ht="14.1" customHeight="1">
      <c r="B1426" s="951"/>
      <c r="C1426" s="598"/>
      <c r="D1426" s="607"/>
      <c r="E1426" s="710" t="s">
        <v>65</v>
      </c>
      <c r="F1426" s="710"/>
      <c r="G1426" s="605" t="s">
        <v>66</v>
      </c>
      <c r="H1426" s="711">
        <v>5.0000000000000001E-3</v>
      </c>
      <c r="I1426" s="491">
        <f>'UPH-TNG'!$I$20</f>
        <v>98000</v>
      </c>
      <c r="J1426" s="491">
        <f>ROUND(H1426*I1426,2)</f>
        <v>490</v>
      </c>
      <c r="K1426" s="607"/>
      <c r="L1426" s="493">
        <v>1</v>
      </c>
      <c r="M1426" s="493" t="s">
        <v>422</v>
      </c>
      <c r="N1426" s="491">
        <f t="shared" si="88"/>
        <v>490</v>
      </c>
      <c r="Q1426" s="595"/>
      <c r="R1426" s="484"/>
      <c r="S1426" s="595"/>
      <c r="T1426" s="595"/>
      <c r="U1426" s="595"/>
    </row>
    <row r="1427" spans="2:21" s="485" customFormat="1" ht="14.1" customHeight="1">
      <c r="B1427" s="951"/>
      <c r="C1427" s="600"/>
      <c r="D1427" s="602"/>
      <c r="E1427" s="612"/>
      <c r="F1427" s="613"/>
      <c r="G1427" s="610"/>
      <c r="H1427" s="614"/>
      <c r="I1427" s="504"/>
      <c r="J1427" s="495"/>
      <c r="K1427" s="494">
        <f>SUM(J1423:J1426)</f>
        <v>43570</v>
      </c>
      <c r="L1427" s="493"/>
      <c r="M1427" s="494"/>
      <c r="N1427" s="491">
        <f t="shared" si="88"/>
        <v>0</v>
      </c>
      <c r="Q1427" s="595"/>
      <c r="R1427" s="484"/>
      <c r="S1427" s="595"/>
      <c r="T1427" s="595"/>
      <c r="U1427" s="595"/>
    </row>
    <row r="1428" spans="2:21" s="485" customFormat="1" ht="14.1" customHeight="1">
      <c r="B1428" s="951"/>
      <c r="C1428" s="596" t="s">
        <v>215</v>
      </c>
      <c r="D1428" s="603" t="s">
        <v>212</v>
      </c>
      <c r="E1428" s="615"/>
      <c r="F1428" s="615"/>
      <c r="G1428" s="605"/>
      <c r="H1428" s="616"/>
      <c r="I1428" s="617"/>
      <c r="J1428" s="491"/>
      <c r="K1428" s="492"/>
      <c r="L1428" s="493"/>
      <c r="M1428" s="494"/>
      <c r="N1428" s="491">
        <f t="shared" si="88"/>
        <v>0</v>
      </c>
      <c r="Q1428" s="595"/>
      <c r="R1428" s="484"/>
      <c r="S1428" s="595"/>
      <c r="T1428" s="595"/>
      <c r="U1428" s="595"/>
    </row>
    <row r="1429" spans="2:21" s="485" customFormat="1" ht="14.1" customHeight="1">
      <c r="B1429" s="951"/>
      <c r="C1429" s="600"/>
      <c r="D1429" s="602"/>
      <c r="E1429" s="612"/>
      <c r="F1429" s="613"/>
      <c r="G1429" s="610"/>
      <c r="H1429" s="614"/>
      <c r="I1429" s="618"/>
      <c r="J1429" s="495"/>
      <c r="K1429" s="494">
        <f>SUM(J1428:J1428)</f>
        <v>0</v>
      </c>
      <c r="L1429" s="493"/>
      <c r="M1429" s="494"/>
      <c r="N1429" s="491">
        <f t="shared" si="88"/>
        <v>0</v>
      </c>
      <c r="Q1429" s="595"/>
      <c r="R1429" s="484"/>
      <c r="S1429" s="595"/>
      <c r="T1429" s="595"/>
      <c r="U1429" s="595"/>
    </row>
    <row r="1430" spans="2:21" s="485" customFormat="1" ht="14.1" customHeight="1">
      <c r="B1430" s="951"/>
      <c r="C1430" s="605" t="s">
        <v>216</v>
      </c>
      <c r="D1430" s="619" t="s">
        <v>219</v>
      </c>
      <c r="E1430" s="613"/>
      <c r="F1430" s="613"/>
      <c r="G1430" s="610"/>
      <c r="H1430" s="614"/>
      <c r="I1430" s="618"/>
      <c r="J1430" s="497" t="s">
        <v>220</v>
      </c>
      <c r="K1430" s="494">
        <f>K1422+K1427+K1429</f>
        <v>153712.5</v>
      </c>
      <c r="L1430" s="620">
        <f>N1430/K1430</f>
        <v>0.95427502642921036</v>
      </c>
      <c r="M1430" s="497"/>
      <c r="N1430" s="498">
        <f>SUM(N1419:N1429)</f>
        <v>146684</v>
      </c>
      <c r="Q1430" s="595"/>
      <c r="R1430" s="484"/>
      <c r="S1430" s="595"/>
      <c r="T1430" s="595"/>
      <c r="U1430" s="595"/>
    </row>
    <row r="1431" spans="2:21" s="485" customFormat="1" ht="14.1" customHeight="1">
      <c r="B1431" s="951"/>
      <c r="C1431" s="605" t="s">
        <v>217</v>
      </c>
      <c r="D1431" s="619" t="s">
        <v>221</v>
      </c>
      <c r="E1431" s="613"/>
      <c r="F1431" s="499">
        <f>$F$48</f>
        <v>0.1</v>
      </c>
      <c r="G1431" s="605" t="s">
        <v>168</v>
      </c>
      <c r="H1431" s="499">
        <f>$H$48</f>
        <v>0.02</v>
      </c>
      <c r="I1431" s="621" t="s">
        <v>167</v>
      </c>
      <c r="J1431" s="494" t="s">
        <v>216</v>
      </c>
      <c r="K1431" s="500">
        <f>ROUND((K1430*(F1431+H1431)),2)</f>
        <v>18445.5</v>
      </c>
      <c r="L1431" s="494"/>
      <c r="M1431" s="494"/>
      <c r="N1431" s="494"/>
      <c r="Q1431" s="595"/>
      <c r="R1431" s="484"/>
      <c r="S1431" s="595"/>
      <c r="T1431" s="595"/>
      <c r="U1431" s="595"/>
    </row>
    <row r="1432" spans="2:21" s="485" customFormat="1" ht="14.1" customHeight="1">
      <c r="B1432" s="951"/>
      <c r="C1432" s="622" t="s">
        <v>222</v>
      </c>
      <c r="D1432" s="623" t="s">
        <v>76</v>
      </c>
      <c r="E1432" s="624"/>
      <c r="F1432" s="624"/>
      <c r="G1432" s="624"/>
      <c r="H1432" s="625"/>
      <c r="I1432" s="624"/>
      <c r="J1432" s="626" t="s">
        <v>226</v>
      </c>
      <c r="K1432" s="627">
        <f>SUM(K1430:K1431)</f>
        <v>172158</v>
      </c>
      <c r="L1432" s="620"/>
      <c r="M1432" s="626"/>
      <c r="N1432" s="635"/>
      <c r="Q1432" s="595"/>
      <c r="R1432" s="484"/>
      <c r="S1432" s="595"/>
      <c r="T1432" s="595"/>
      <c r="U1432" s="595"/>
    </row>
    <row r="1433" spans="2:21">
      <c r="Q1433" s="595"/>
      <c r="R1433" s="484"/>
      <c r="S1433" s="595"/>
      <c r="T1433" s="595"/>
      <c r="U1433" s="595"/>
    </row>
    <row r="1434" spans="2:21" s="485" customFormat="1" ht="14.1" hidden="1" customHeight="1">
      <c r="B1434" s="951">
        <f>B1415+1</f>
        <v>73</v>
      </c>
      <c r="C1434" s="488"/>
      <c r="D1434" s="709" t="s">
        <v>467</v>
      </c>
      <c r="H1434" s="488"/>
      <c r="K1434" s="591" t="s">
        <v>254</v>
      </c>
      <c r="L1434" s="591"/>
      <c r="M1434" s="591"/>
      <c r="N1434" s="591"/>
      <c r="O1434" s="485" t="str">
        <f>D1435</f>
        <v>bh</v>
      </c>
      <c r="P1434" s="636">
        <f>K1451</f>
        <v>299768</v>
      </c>
      <c r="Q1434" s="593">
        <f>L1449</f>
        <v>4.4647861012516346E-2</v>
      </c>
      <c r="R1434" s="484">
        <f>N1449</f>
        <v>11950</v>
      </c>
      <c r="S1434" s="594"/>
      <c r="T1434" s="484"/>
      <c r="U1434" s="593"/>
    </row>
    <row r="1435" spans="2:21" s="485" customFormat="1" ht="14.1" hidden="1" customHeight="1">
      <c r="B1435" s="951"/>
      <c r="C1435" s="488"/>
      <c r="D1435" s="485" t="s">
        <v>45</v>
      </c>
      <c r="H1435" s="488"/>
      <c r="Q1435" s="595"/>
      <c r="R1435" s="484"/>
      <c r="S1435" s="595"/>
      <c r="T1435" s="595"/>
      <c r="U1435" s="595"/>
    </row>
    <row r="1436" spans="2:21" s="485" customFormat="1" ht="14.1" hidden="1" customHeight="1">
      <c r="B1436" s="951"/>
      <c r="C1436" s="596"/>
      <c r="D1436" s="977" t="s">
        <v>55</v>
      </c>
      <c r="E1436" s="978"/>
      <c r="F1436" s="597"/>
      <c r="G1436" s="981" t="s">
        <v>56</v>
      </c>
      <c r="H1436" s="981" t="s">
        <v>57</v>
      </c>
      <c r="I1436" s="596" t="s">
        <v>58</v>
      </c>
      <c r="J1436" s="596" t="s">
        <v>59</v>
      </c>
      <c r="K1436" s="596" t="s">
        <v>102</v>
      </c>
      <c r="L1436" s="596" t="s">
        <v>418</v>
      </c>
      <c r="M1436" s="596" t="s">
        <v>419</v>
      </c>
      <c r="N1436" s="596" t="s">
        <v>59</v>
      </c>
      <c r="Q1436" s="595"/>
      <c r="R1436" s="484"/>
      <c r="S1436" s="595"/>
      <c r="T1436" s="595"/>
      <c r="U1436" s="595"/>
    </row>
    <row r="1437" spans="2:21" s="485" customFormat="1" ht="14.1" hidden="1" customHeight="1">
      <c r="B1437" s="951"/>
      <c r="C1437" s="598" t="s">
        <v>227</v>
      </c>
      <c r="D1437" s="979"/>
      <c r="E1437" s="980"/>
      <c r="F1437" s="599"/>
      <c r="G1437" s="982"/>
      <c r="H1437" s="982"/>
      <c r="I1437" s="598" t="s">
        <v>60</v>
      </c>
      <c r="J1437" s="598" t="s">
        <v>61</v>
      </c>
      <c r="K1437" s="598" t="s">
        <v>61</v>
      </c>
      <c r="L1437" s="598" t="s">
        <v>421</v>
      </c>
      <c r="M1437" s="598"/>
      <c r="N1437" s="598" t="s">
        <v>423</v>
      </c>
      <c r="Q1437" s="595"/>
      <c r="R1437" s="484"/>
      <c r="S1437" s="595"/>
      <c r="T1437" s="595"/>
      <c r="U1437" s="595"/>
    </row>
    <row r="1438" spans="2:21" s="485" customFormat="1" ht="14.1" hidden="1" customHeight="1">
      <c r="B1438" s="951"/>
      <c r="C1438" s="600"/>
      <c r="D1438" s="969"/>
      <c r="E1438" s="970"/>
      <c r="F1438" s="601"/>
      <c r="G1438" s="973"/>
      <c r="H1438" s="973"/>
      <c r="I1438" s="600" t="s">
        <v>61</v>
      </c>
      <c r="J1438" s="602"/>
      <c r="K1438" s="602"/>
      <c r="L1438" s="602"/>
      <c r="M1438" s="602"/>
      <c r="N1438" s="600" t="s">
        <v>61</v>
      </c>
      <c r="Q1438" s="595"/>
      <c r="R1438" s="484"/>
      <c r="S1438" s="595"/>
      <c r="T1438" s="595"/>
      <c r="U1438" s="595"/>
    </row>
    <row r="1439" spans="2:21" s="485" customFormat="1" ht="14.1" hidden="1" customHeight="1">
      <c r="B1439" s="951"/>
      <c r="C1439" s="596" t="s">
        <v>213</v>
      </c>
      <c r="D1439" s="603" t="s">
        <v>62</v>
      </c>
      <c r="E1439" s="710" t="s">
        <v>466</v>
      </c>
      <c r="F1439" s="710"/>
      <c r="G1439" s="605" t="s">
        <v>45</v>
      </c>
      <c r="H1439" s="711">
        <v>1</v>
      </c>
      <c r="I1439" s="491">
        <f>'UPH-TNG'!I67</f>
        <v>250000</v>
      </c>
      <c r="J1439" s="491">
        <f>ROUND(H1439*I1439,2)</f>
        <v>250000</v>
      </c>
      <c r="K1439" s="492"/>
      <c r="L1439" s="493">
        <v>0</v>
      </c>
      <c r="M1439" s="494"/>
      <c r="N1439" s="491">
        <f t="shared" ref="N1439:N1448" si="89">L1439*J1439</f>
        <v>0</v>
      </c>
      <c r="Q1439" s="595"/>
      <c r="R1439" s="484"/>
      <c r="S1439" s="595"/>
      <c r="T1439" s="595"/>
      <c r="U1439" s="595"/>
    </row>
    <row r="1440" spans="2:21" s="485" customFormat="1" ht="14.1" hidden="1" customHeight="1">
      <c r="B1440" s="951"/>
      <c r="C1440" s="670"/>
      <c r="D1440" s="666"/>
      <c r="E1440" s="710" t="s">
        <v>138</v>
      </c>
      <c r="F1440" s="710"/>
      <c r="G1440" s="605" t="s">
        <v>45</v>
      </c>
      <c r="H1440" s="711">
        <v>1</v>
      </c>
      <c r="I1440" s="491">
        <f>'UPH-TNG'!$I$132</f>
        <v>5700</v>
      </c>
      <c r="J1440" s="491">
        <f>ROUND(H1440*I1440,2)</f>
        <v>5700</v>
      </c>
      <c r="K1440" s="492"/>
      <c r="L1440" s="493">
        <v>0</v>
      </c>
      <c r="M1440" s="494"/>
      <c r="N1440" s="491">
        <f t="shared" ref="N1440" si="90">L1440*J1440</f>
        <v>0</v>
      </c>
      <c r="Q1440" s="595"/>
      <c r="R1440" s="484"/>
      <c r="S1440" s="595"/>
      <c r="T1440" s="595"/>
      <c r="U1440" s="595"/>
    </row>
    <row r="1441" spans="2:21" s="485" customFormat="1" ht="14.1" hidden="1" customHeight="1">
      <c r="B1441" s="951"/>
      <c r="C1441" s="600"/>
      <c r="D1441" s="607"/>
      <c r="E1441" s="712"/>
      <c r="F1441" s="713"/>
      <c r="G1441" s="610"/>
      <c r="H1441" s="714"/>
      <c r="I1441" s="504"/>
      <c r="J1441" s="495"/>
      <c r="K1441" s="491">
        <f>SUM(J1439:J1440)</f>
        <v>255700</v>
      </c>
      <c r="L1441" s="493"/>
      <c r="M1441" s="494"/>
      <c r="N1441" s="491">
        <f t="shared" si="89"/>
        <v>0</v>
      </c>
      <c r="Q1441" s="595"/>
      <c r="R1441" s="484"/>
      <c r="S1441" s="595"/>
      <c r="T1441" s="595"/>
      <c r="U1441" s="595"/>
    </row>
    <row r="1442" spans="2:21" s="485" customFormat="1" ht="14.1" hidden="1" customHeight="1">
      <c r="B1442" s="951"/>
      <c r="C1442" s="596" t="s">
        <v>214</v>
      </c>
      <c r="D1442" s="603" t="s">
        <v>63</v>
      </c>
      <c r="E1442" s="710" t="s">
        <v>64</v>
      </c>
      <c r="F1442" s="710"/>
      <c r="G1442" s="605" t="s">
        <v>66</v>
      </c>
      <c r="H1442" s="711">
        <v>0.01</v>
      </c>
      <c r="I1442" s="491">
        <f>'UPH-TNG'!$I$15</f>
        <v>92000</v>
      </c>
      <c r="J1442" s="491">
        <f>ROUND(H1442*I1442,2)</f>
        <v>920</v>
      </c>
      <c r="K1442" s="492"/>
      <c r="L1442" s="493">
        <v>1</v>
      </c>
      <c r="M1442" s="493" t="s">
        <v>422</v>
      </c>
      <c r="N1442" s="491">
        <f t="shared" si="89"/>
        <v>920</v>
      </c>
      <c r="Q1442" s="595"/>
      <c r="R1442" s="484"/>
      <c r="S1442" s="595"/>
      <c r="T1442" s="595"/>
      <c r="U1442" s="595"/>
    </row>
    <row r="1443" spans="2:21" s="485" customFormat="1" ht="14.1" hidden="1" customHeight="1">
      <c r="B1443" s="951"/>
      <c r="C1443" s="598"/>
      <c r="D1443" s="607"/>
      <c r="E1443" s="717" t="str">
        <f>'UPH-TNG'!$D$27</f>
        <v>Tukang pipa</v>
      </c>
      <c r="F1443" s="710"/>
      <c r="G1443" s="605" t="s">
        <v>66</v>
      </c>
      <c r="H1443" s="711">
        <v>0.1</v>
      </c>
      <c r="I1443" s="491">
        <f>'UPH-TNG'!$I$27</f>
        <v>95000</v>
      </c>
      <c r="J1443" s="491">
        <f>ROUND(H1443*I1443,2)</f>
        <v>9500</v>
      </c>
      <c r="K1443" s="496"/>
      <c r="L1443" s="493">
        <v>1</v>
      </c>
      <c r="M1443" s="493" t="s">
        <v>422</v>
      </c>
      <c r="N1443" s="491">
        <f t="shared" si="89"/>
        <v>9500</v>
      </c>
      <c r="Q1443" s="595"/>
      <c r="R1443" s="484"/>
      <c r="S1443" s="595"/>
      <c r="T1443" s="595"/>
      <c r="U1443" s="595"/>
    </row>
    <row r="1444" spans="2:21" s="485" customFormat="1" ht="14.1" hidden="1" customHeight="1">
      <c r="B1444" s="951"/>
      <c r="C1444" s="598"/>
      <c r="D1444" s="607"/>
      <c r="E1444" s="710" t="s">
        <v>238</v>
      </c>
      <c r="F1444" s="710"/>
      <c r="G1444" s="605" t="s">
        <v>66</v>
      </c>
      <c r="H1444" s="711">
        <v>0.01</v>
      </c>
      <c r="I1444" s="491">
        <f>'UPH-TNG'!$I$16</f>
        <v>104000</v>
      </c>
      <c r="J1444" s="491">
        <f>ROUND(H1444*I1444,2)</f>
        <v>1040</v>
      </c>
      <c r="K1444" s="496"/>
      <c r="L1444" s="493">
        <v>1</v>
      </c>
      <c r="M1444" s="493" t="s">
        <v>422</v>
      </c>
      <c r="N1444" s="491">
        <f t="shared" si="89"/>
        <v>1040</v>
      </c>
      <c r="Q1444" s="595"/>
      <c r="R1444" s="484"/>
      <c r="S1444" s="595"/>
      <c r="T1444" s="595"/>
      <c r="U1444" s="595"/>
    </row>
    <row r="1445" spans="2:21" s="485" customFormat="1" ht="14.1" hidden="1" customHeight="1">
      <c r="B1445" s="951"/>
      <c r="C1445" s="598"/>
      <c r="D1445" s="607"/>
      <c r="E1445" s="710" t="s">
        <v>65</v>
      </c>
      <c r="F1445" s="710"/>
      <c r="G1445" s="605" t="s">
        <v>66</v>
      </c>
      <c r="H1445" s="711">
        <v>5.0000000000000001E-3</v>
      </c>
      <c r="I1445" s="491">
        <f>'UPH-TNG'!$I$20</f>
        <v>98000</v>
      </c>
      <c r="J1445" s="491">
        <f>ROUND(H1445*I1445,2)</f>
        <v>490</v>
      </c>
      <c r="K1445" s="607"/>
      <c r="L1445" s="493">
        <v>1</v>
      </c>
      <c r="M1445" s="493" t="s">
        <v>422</v>
      </c>
      <c r="N1445" s="491">
        <f t="shared" si="89"/>
        <v>490</v>
      </c>
      <c r="Q1445" s="595"/>
      <c r="R1445" s="484"/>
      <c r="S1445" s="595"/>
      <c r="T1445" s="595"/>
      <c r="U1445" s="595"/>
    </row>
    <row r="1446" spans="2:21" s="485" customFormat="1" ht="14.1" hidden="1" customHeight="1">
      <c r="B1446" s="951"/>
      <c r="C1446" s="600"/>
      <c r="D1446" s="602"/>
      <c r="E1446" s="612"/>
      <c r="F1446" s="613"/>
      <c r="G1446" s="610"/>
      <c r="H1446" s="614"/>
      <c r="I1446" s="504"/>
      <c r="J1446" s="495"/>
      <c r="K1446" s="494">
        <f>SUM(J1442:J1445)</f>
        <v>11950</v>
      </c>
      <c r="L1446" s="493"/>
      <c r="M1446" s="494"/>
      <c r="N1446" s="491">
        <f t="shared" si="89"/>
        <v>0</v>
      </c>
      <c r="Q1446" s="595"/>
      <c r="R1446" s="484"/>
      <c r="S1446" s="595"/>
      <c r="T1446" s="595"/>
      <c r="U1446" s="595"/>
    </row>
    <row r="1447" spans="2:21" s="485" customFormat="1" ht="14.1" hidden="1" customHeight="1">
      <c r="B1447" s="951"/>
      <c r="C1447" s="596" t="s">
        <v>215</v>
      </c>
      <c r="D1447" s="603" t="s">
        <v>212</v>
      </c>
      <c r="E1447" s="615"/>
      <c r="F1447" s="615"/>
      <c r="G1447" s="605"/>
      <c r="H1447" s="616"/>
      <c r="I1447" s="617"/>
      <c r="J1447" s="491"/>
      <c r="K1447" s="492"/>
      <c r="L1447" s="493"/>
      <c r="M1447" s="494"/>
      <c r="N1447" s="491">
        <f t="shared" si="89"/>
        <v>0</v>
      </c>
      <c r="Q1447" s="595"/>
      <c r="R1447" s="484"/>
      <c r="S1447" s="595"/>
      <c r="T1447" s="595"/>
      <c r="U1447" s="595"/>
    </row>
    <row r="1448" spans="2:21" s="485" customFormat="1" ht="14.1" hidden="1" customHeight="1">
      <c r="B1448" s="951"/>
      <c r="C1448" s="600"/>
      <c r="D1448" s="602"/>
      <c r="E1448" s="612"/>
      <c r="F1448" s="613"/>
      <c r="G1448" s="610"/>
      <c r="H1448" s="614"/>
      <c r="I1448" s="618"/>
      <c r="J1448" s="495"/>
      <c r="K1448" s="494">
        <f>SUM(J1447:J1447)</f>
        <v>0</v>
      </c>
      <c r="L1448" s="493"/>
      <c r="M1448" s="494"/>
      <c r="N1448" s="491">
        <f t="shared" si="89"/>
        <v>0</v>
      </c>
      <c r="Q1448" s="595"/>
      <c r="R1448" s="484"/>
      <c r="S1448" s="595"/>
      <c r="T1448" s="595"/>
      <c r="U1448" s="595"/>
    </row>
    <row r="1449" spans="2:21" s="485" customFormat="1" ht="14.1" hidden="1" customHeight="1">
      <c r="B1449" s="951"/>
      <c r="C1449" s="605" t="s">
        <v>216</v>
      </c>
      <c r="D1449" s="619" t="s">
        <v>219</v>
      </c>
      <c r="E1449" s="613"/>
      <c r="F1449" s="613"/>
      <c r="G1449" s="610"/>
      <c r="H1449" s="614"/>
      <c r="I1449" s="618"/>
      <c r="J1449" s="497" t="s">
        <v>220</v>
      </c>
      <c r="K1449" s="494">
        <f>K1441+K1446+K1448</f>
        <v>267650</v>
      </c>
      <c r="L1449" s="620">
        <f>N1449/K1449</f>
        <v>4.4647861012516346E-2</v>
      </c>
      <c r="M1449" s="497"/>
      <c r="N1449" s="498">
        <f>SUM(N1438:N1448)</f>
        <v>11950</v>
      </c>
      <c r="Q1449" s="595"/>
      <c r="R1449" s="484"/>
      <c r="S1449" s="595"/>
      <c r="T1449" s="595"/>
      <c r="U1449" s="595"/>
    </row>
    <row r="1450" spans="2:21" s="485" customFormat="1" ht="14.1" hidden="1" customHeight="1">
      <c r="B1450" s="951"/>
      <c r="C1450" s="605" t="s">
        <v>217</v>
      </c>
      <c r="D1450" s="619" t="s">
        <v>221</v>
      </c>
      <c r="E1450" s="613"/>
      <c r="F1450" s="499">
        <f>$F$48</f>
        <v>0.1</v>
      </c>
      <c r="G1450" s="605" t="s">
        <v>168</v>
      </c>
      <c r="H1450" s="499">
        <f>$H$48</f>
        <v>0.02</v>
      </c>
      <c r="I1450" s="621" t="s">
        <v>167</v>
      </c>
      <c r="J1450" s="494" t="s">
        <v>216</v>
      </c>
      <c r="K1450" s="500">
        <f>ROUND((K1449*(F1450+H1450)),2)</f>
        <v>32118</v>
      </c>
      <c r="L1450" s="494"/>
      <c r="M1450" s="494"/>
      <c r="N1450" s="494"/>
      <c r="Q1450" s="595"/>
      <c r="R1450" s="484"/>
      <c r="S1450" s="595"/>
      <c r="T1450" s="595"/>
      <c r="U1450" s="595"/>
    </row>
    <row r="1451" spans="2:21" s="485" customFormat="1" ht="14.1" hidden="1" customHeight="1">
      <c r="B1451" s="951"/>
      <c r="C1451" s="622" t="s">
        <v>222</v>
      </c>
      <c r="D1451" s="623" t="s">
        <v>76</v>
      </c>
      <c r="E1451" s="624"/>
      <c r="F1451" s="624"/>
      <c r="G1451" s="624"/>
      <c r="H1451" s="625"/>
      <c r="I1451" s="624"/>
      <c r="J1451" s="626" t="s">
        <v>226</v>
      </c>
      <c r="K1451" s="627">
        <f>SUM(K1449:K1450)</f>
        <v>299768</v>
      </c>
      <c r="L1451" s="620"/>
      <c r="M1451" s="626"/>
      <c r="N1451" s="635"/>
      <c r="Q1451" s="595"/>
      <c r="R1451" s="484"/>
      <c r="S1451" s="595"/>
      <c r="T1451" s="595"/>
      <c r="U1451" s="595"/>
    </row>
    <row r="1452" spans="2:21" hidden="1">
      <c r="Q1452" s="595"/>
      <c r="R1452" s="484"/>
      <c r="S1452" s="595"/>
      <c r="T1452" s="595"/>
      <c r="U1452" s="595"/>
    </row>
    <row r="1453" spans="2:21" s="485" customFormat="1" ht="14.1" hidden="1" customHeight="1">
      <c r="B1453" s="951">
        <f>B1434+1</f>
        <v>74</v>
      </c>
      <c r="C1453" s="488"/>
      <c r="D1453" s="709" t="s">
        <v>468</v>
      </c>
      <c r="H1453" s="488"/>
      <c r="K1453" s="591" t="s">
        <v>122</v>
      </c>
      <c r="L1453" s="591"/>
      <c r="M1453" s="591"/>
      <c r="N1453" s="591"/>
      <c r="O1453" s="485" t="str">
        <f>D1454</f>
        <v>bh</v>
      </c>
      <c r="P1453" s="636">
        <f>K1469</f>
        <v>132977.60000000001</v>
      </c>
      <c r="Q1453" s="593">
        <f>L1467</f>
        <v>0.16701760296470985</v>
      </c>
      <c r="R1453" s="484">
        <f>N1467</f>
        <v>19830</v>
      </c>
      <c r="S1453" s="594"/>
      <c r="T1453" s="484"/>
      <c r="U1453" s="593"/>
    </row>
    <row r="1454" spans="2:21" s="485" customFormat="1" ht="14.1" hidden="1" customHeight="1">
      <c r="B1454" s="951"/>
      <c r="C1454" s="488"/>
      <c r="D1454" s="485" t="s">
        <v>45</v>
      </c>
      <c r="H1454" s="488"/>
      <c r="Q1454" s="595"/>
      <c r="R1454" s="484"/>
      <c r="S1454" s="595"/>
      <c r="T1454" s="595"/>
      <c r="U1454" s="595"/>
    </row>
    <row r="1455" spans="2:21" s="485" customFormat="1" ht="14.1" hidden="1" customHeight="1">
      <c r="B1455" s="951"/>
      <c r="C1455" s="596"/>
      <c r="D1455" s="977" t="s">
        <v>55</v>
      </c>
      <c r="E1455" s="978"/>
      <c r="F1455" s="597"/>
      <c r="G1455" s="981" t="s">
        <v>56</v>
      </c>
      <c r="H1455" s="981" t="s">
        <v>57</v>
      </c>
      <c r="I1455" s="596" t="s">
        <v>58</v>
      </c>
      <c r="J1455" s="596" t="s">
        <v>59</v>
      </c>
      <c r="K1455" s="596" t="s">
        <v>102</v>
      </c>
      <c r="L1455" s="596" t="s">
        <v>418</v>
      </c>
      <c r="M1455" s="596" t="s">
        <v>419</v>
      </c>
      <c r="N1455" s="596" t="s">
        <v>59</v>
      </c>
      <c r="Q1455" s="595"/>
      <c r="R1455" s="484"/>
      <c r="S1455" s="595"/>
      <c r="T1455" s="595"/>
      <c r="U1455" s="595"/>
    </row>
    <row r="1456" spans="2:21" s="485" customFormat="1" ht="14.1" hidden="1" customHeight="1">
      <c r="B1456" s="951"/>
      <c r="C1456" s="598" t="s">
        <v>227</v>
      </c>
      <c r="D1456" s="979"/>
      <c r="E1456" s="980"/>
      <c r="F1456" s="599"/>
      <c r="G1456" s="982"/>
      <c r="H1456" s="982"/>
      <c r="I1456" s="598" t="s">
        <v>60</v>
      </c>
      <c r="J1456" s="598" t="s">
        <v>61</v>
      </c>
      <c r="K1456" s="598" t="s">
        <v>61</v>
      </c>
      <c r="L1456" s="598" t="s">
        <v>421</v>
      </c>
      <c r="M1456" s="598"/>
      <c r="N1456" s="598" t="s">
        <v>423</v>
      </c>
      <c r="Q1456" s="595"/>
      <c r="R1456" s="484"/>
      <c r="S1456" s="595"/>
      <c r="T1456" s="595"/>
      <c r="U1456" s="595"/>
    </row>
    <row r="1457" spans="2:21" s="485" customFormat="1" ht="14.1" hidden="1" customHeight="1">
      <c r="B1457" s="951"/>
      <c r="C1457" s="600"/>
      <c r="D1457" s="969"/>
      <c r="E1457" s="970"/>
      <c r="F1457" s="601"/>
      <c r="G1457" s="973"/>
      <c r="H1457" s="973"/>
      <c r="I1457" s="600" t="s">
        <v>61</v>
      </c>
      <c r="J1457" s="602"/>
      <c r="K1457" s="602"/>
      <c r="L1457" s="602"/>
      <c r="M1457" s="602"/>
      <c r="N1457" s="600" t="s">
        <v>61</v>
      </c>
      <c r="Q1457" s="595"/>
      <c r="R1457" s="484"/>
      <c r="S1457" s="595"/>
      <c r="T1457" s="595"/>
      <c r="U1457" s="595"/>
    </row>
    <row r="1458" spans="2:21" s="485" customFormat="1" ht="14.1" hidden="1" customHeight="1">
      <c r="B1458" s="951"/>
      <c r="C1458" s="596" t="s">
        <v>213</v>
      </c>
      <c r="D1458" s="603" t="s">
        <v>62</v>
      </c>
      <c r="E1458" s="710" t="s">
        <v>469</v>
      </c>
      <c r="F1458" s="710"/>
      <c r="G1458" s="605" t="s">
        <v>45</v>
      </c>
      <c r="H1458" s="711">
        <v>1</v>
      </c>
      <c r="I1458" s="491">
        <f>'UPH-TNG'!I138</f>
        <v>87500</v>
      </c>
      <c r="J1458" s="491">
        <f>ROUND(H1458*I1458,2)</f>
        <v>87500</v>
      </c>
      <c r="K1458" s="492"/>
      <c r="L1458" s="493">
        <v>0</v>
      </c>
      <c r="M1458" s="494"/>
      <c r="N1458" s="491">
        <f t="shared" ref="N1458:N1466" si="91">L1458*J1458</f>
        <v>0</v>
      </c>
      <c r="Q1458" s="595"/>
      <c r="R1458" s="484"/>
      <c r="S1458" s="595"/>
      <c r="T1458" s="595"/>
      <c r="U1458" s="595"/>
    </row>
    <row r="1459" spans="2:21" s="485" customFormat="1" ht="14.1" hidden="1" customHeight="1">
      <c r="B1459" s="951"/>
      <c r="C1459" s="670"/>
      <c r="D1459" s="666"/>
      <c r="E1459" s="710" t="s">
        <v>138</v>
      </c>
      <c r="F1459" s="710"/>
      <c r="G1459" s="605" t="s">
        <v>45</v>
      </c>
      <c r="H1459" s="711">
        <v>2</v>
      </c>
      <c r="I1459" s="491">
        <f>'UPH-TNG'!$I$132</f>
        <v>5700</v>
      </c>
      <c r="J1459" s="491">
        <f>ROUND(H1459*I1459,2)</f>
        <v>11400</v>
      </c>
      <c r="K1459" s="492"/>
      <c r="L1459" s="493">
        <v>0</v>
      </c>
      <c r="M1459" s="494"/>
      <c r="N1459" s="491">
        <f t="shared" si="91"/>
        <v>0</v>
      </c>
      <c r="Q1459" s="595"/>
      <c r="R1459" s="484"/>
      <c r="S1459" s="595"/>
      <c r="T1459" s="595"/>
      <c r="U1459" s="595"/>
    </row>
    <row r="1460" spans="2:21" s="485" customFormat="1" ht="14.1" hidden="1" customHeight="1">
      <c r="B1460" s="951"/>
      <c r="C1460" s="600"/>
      <c r="D1460" s="607"/>
      <c r="E1460" s="712"/>
      <c r="F1460" s="713"/>
      <c r="G1460" s="610"/>
      <c r="H1460" s="714"/>
      <c r="I1460" s="504"/>
      <c r="J1460" s="495"/>
      <c r="K1460" s="491">
        <f>SUM(J1458:J1459)</f>
        <v>98900</v>
      </c>
      <c r="L1460" s="493"/>
      <c r="M1460" s="494"/>
      <c r="N1460" s="491">
        <f t="shared" si="91"/>
        <v>0</v>
      </c>
      <c r="Q1460" s="595"/>
      <c r="R1460" s="484"/>
      <c r="S1460" s="595"/>
      <c r="T1460" s="595"/>
      <c r="U1460" s="595"/>
    </row>
    <row r="1461" spans="2:21" s="485" customFormat="1" ht="14.1" hidden="1" customHeight="1">
      <c r="B1461" s="951"/>
      <c r="C1461" s="596" t="s">
        <v>214</v>
      </c>
      <c r="D1461" s="603" t="s">
        <v>63</v>
      </c>
      <c r="E1461" s="710" t="s">
        <v>64</v>
      </c>
      <c r="F1461" s="710"/>
      <c r="G1461" s="605" t="s">
        <v>66</v>
      </c>
      <c r="H1461" s="711">
        <v>0.05</v>
      </c>
      <c r="I1461" s="491">
        <f>'UPH-TNG'!$I$15</f>
        <v>92000</v>
      </c>
      <c r="J1461" s="491">
        <f>ROUND(H1461*I1461,2)</f>
        <v>4600</v>
      </c>
      <c r="K1461" s="492"/>
      <c r="L1461" s="493">
        <v>1</v>
      </c>
      <c r="M1461" s="493" t="s">
        <v>422</v>
      </c>
      <c r="N1461" s="491">
        <f t="shared" si="91"/>
        <v>4600</v>
      </c>
      <c r="Q1461" s="595"/>
      <c r="R1461" s="484"/>
      <c r="S1461" s="595"/>
      <c r="T1461" s="595"/>
      <c r="U1461" s="595"/>
    </row>
    <row r="1462" spans="2:21" s="485" customFormat="1" ht="14.1" hidden="1" customHeight="1">
      <c r="B1462" s="951"/>
      <c r="C1462" s="598"/>
      <c r="D1462" s="607"/>
      <c r="E1462" s="717" t="str">
        <f>'UPH-TNG'!$D$27</f>
        <v>Tukang pipa</v>
      </c>
      <c r="F1462" s="710"/>
      <c r="G1462" s="605" t="s">
        <v>66</v>
      </c>
      <c r="H1462" s="711">
        <v>0.15</v>
      </c>
      <c r="I1462" s="491">
        <f>'UPH-TNG'!$I$27</f>
        <v>95000</v>
      </c>
      <c r="J1462" s="491">
        <f>ROUND(H1462*I1462,2)</f>
        <v>14250</v>
      </c>
      <c r="K1462" s="496"/>
      <c r="L1462" s="493">
        <v>1</v>
      </c>
      <c r="M1462" s="493" t="s">
        <v>422</v>
      </c>
      <c r="N1462" s="491">
        <f t="shared" si="91"/>
        <v>14250</v>
      </c>
      <c r="Q1462" s="595"/>
      <c r="R1462" s="484"/>
      <c r="S1462" s="595"/>
      <c r="T1462" s="595"/>
      <c r="U1462" s="595"/>
    </row>
    <row r="1463" spans="2:21" s="485" customFormat="1" ht="14.1" hidden="1" customHeight="1">
      <c r="B1463" s="951"/>
      <c r="C1463" s="598"/>
      <c r="D1463" s="607"/>
      <c r="E1463" s="710" t="s">
        <v>65</v>
      </c>
      <c r="F1463" s="710"/>
      <c r="G1463" s="605" t="s">
        <v>66</v>
      </c>
      <c r="H1463" s="711">
        <v>0.01</v>
      </c>
      <c r="I1463" s="491">
        <f>'UPH-TNG'!$I$20</f>
        <v>98000</v>
      </c>
      <c r="J1463" s="491">
        <f>ROUND(H1463*I1463,2)</f>
        <v>980</v>
      </c>
      <c r="K1463" s="607"/>
      <c r="L1463" s="493">
        <v>1</v>
      </c>
      <c r="M1463" s="493" t="s">
        <v>422</v>
      </c>
      <c r="N1463" s="491">
        <f t="shared" si="91"/>
        <v>980</v>
      </c>
      <c r="Q1463" s="595"/>
      <c r="R1463" s="484"/>
      <c r="S1463" s="595"/>
      <c r="T1463" s="595"/>
      <c r="U1463" s="595"/>
    </row>
    <row r="1464" spans="2:21" s="485" customFormat="1" ht="14.1" hidden="1" customHeight="1">
      <c r="B1464" s="951"/>
      <c r="C1464" s="600"/>
      <c r="D1464" s="602"/>
      <c r="E1464" s="612"/>
      <c r="F1464" s="613"/>
      <c r="G1464" s="610"/>
      <c r="H1464" s="614"/>
      <c r="I1464" s="504"/>
      <c r="J1464" s="495"/>
      <c r="K1464" s="494">
        <f>SUM(J1461:J1463)</f>
        <v>19830</v>
      </c>
      <c r="L1464" s="493"/>
      <c r="M1464" s="494"/>
      <c r="N1464" s="491">
        <f t="shared" si="91"/>
        <v>0</v>
      </c>
      <c r="Q1464" s="595"/>
      <c r="R1464" s="484"/>
      <c r="S1464" s="595"/>
      <c r="T1464" s="595"/>
      <c r="U1464" s="595"/>
    </row>
    <row r="1465" spans="2:21" s="485" customFormat="1" ht="14.1" hidden="1" customHeight="1">
      <c r="B1465" s="951"/>
      <c r="C1465" s="596" t="s">
        <v>215</v>
      </c>
      <c r="D1465" s="603" t="s">
        <v>212</v>
      </c>
      <c r="E1465" s="615"/>
      <c r="F1465" s="615"/>
      <c r="G1465" s="605"/>
      <c r="H1465" s="616"/>
      <c r="I1465" s="617"/>
      <c r="J1465" s="491"/>
      <c r="K1465" s="492"/>
      <c r="L1465" s="493"/>
      <c r="M1465" s="494"/>
      <c r="N1465" s="491">
        <f t="shared" si="91"/>
        <v>0</v>
      </c>
      <c r="Q1465" s="595"/>
      <c r="R1465" s="484"/>
      <c r="S1465" s="595"/>
      <c r="T1465" s="595"/>
      <c r="U1465" s="595"/>
    </row>
    <row r="1466" spans="2:21" s="485" customFormat="1" ht="14.1" hidden="1" customHeight="1">
      <c r="B1466" s="951"/>
      <c r="C1466" s="600"/>
      <c r="D1466" s="602"/>
      <c r="E1466" s="612"/>
      <c r="F1466" s="613"/>
      <c r="G1466" s="610"/>
      <c r="H1466" s="614"/>
      <c r="I1466" s="618"/>
      <c r="J1466" s="495"/>
      <c r="K1466" s="494">
        <f>SUM(J1465:J1465)</f>
        <v>0</v>
      </c>
      <c r="L1466" s="493"/>
      <c r="M1466" s="494"/>
      <c r="N1466" s="491">
        <f t="shared" si="91"/>
        <v>0</v>
      </c>
      <c r="Q1466" s="595"/>
      <c r="R1466" s="484"/>
      <c r="S1466" s="595"/>
      <c r="T1466" s="595"/>
      <c r="U1466" s="595"/>
    </row>
    <row r="1467" spans="2:21" s="485" customFormat="1" ht="14.1" hidden="1" customHeight="1">
      <c r="B1467" s="951"/>
      <c r="C1467" s="605" t="s">
        <v>216</v>
      </c>
      <c r="D1467" s="619" t="s">
        <v>219</v>
      </c>
      <c r="E1467" s="613"/>
      <c r="F1467" s="613"/>
      <c r="G1467" s="610"/>
      <c r="H1467" s="614"/>
      <c r="I1467" s="618"/>
      <c r="J1467" s="497" t="s">
        <v>220</v>
      </c>
      <c r="K1467" s="494">
        <f>K1460+K1464+K1466</f>
        <v>118730</v>
      </c>
      <c r="L1467" s="620">
        <f>N1467/K1467</f>
        <v>0.16701760296470985</v>
      </c>
      <c r="M1467" s="497"/>
      <c r="N1467" s="498">
        <f>SUM(N1457:N1466)</f>
        <v>19830</v>
      </c>
      <c r="Q1467" s="595"/>
      <c r="R1467" s="484"/>
      <c r="S1467" s="595"/>
      <c r="T1467" s="595"/>
      <c r="U1467" s="595"/>
    </row>
    <row r="1468" spans="2:21" s="485" customFormat="1" ht="14.1" hidden="1" customHeight="1">
      <c r="B1468" s="951"/>
      <c r="C1468" s="605" t="s">
        <v>217</v>
      </c>
      <c r="D1468" s="619" t="s">
        <v>221</v>
      </c>
      <c r="E1468" s="613"/>
      <c r="F1468" s="499">
        <f>$F$48</f>
        <v>0.1</v>
      </c>
      <c r="G1468" s="605" t="s">
        <v>168</v>
      </c>
      <c r="H1468" s="499">
        <f>$H$48</f>
        <v>0.02</v>
      </c>
      <c r="I1468" s="621" t="s">
        <v>167</v>
      </c>
      <c r="J1468" s="494" t="s">
        <v>216</v>
      </c>
      <c r="K1468" s="500">
        <f>ROUND((K1467*(F1468+H1468)),2)</f>
        <v>14247.6</v>
      </c>
      <c r="L1468" s="494"/>
      <c r="M1468" s="494"/>
      <c r="N1468" s="494"/>
      <c r="Q1468" s="595"/>
      <c r="R1468" s="484"/>
      <c r="S1468" s="595"/>
      <c r="T1468" s="595"/>
      <c r="U1468" s="595"/>
    </row>
    <row r="1469" spans="2:21" s="485" customFormat="1" ht="14.1" hidden="1" customHeight="1">
      <c r="B1469" s="951"/>
      <c r="C1469" s="622" t="s">
        <v>222</v>
      </c>
      <c r="D1469" s="623" t="s">
        <v>76</v>
      </c>
      <c r="E1469" s="624"/>
      <c r="F1469" s="624"/>
      <c r="G1469" s="624"/>
      <c r="H1469" s="625"/>
      <c r="I1469" s="624"/>
      <c r="J1469" s="626" t="s">
        <v>226</v>
      </c>
      <c r="K1469" s="627">
        <f>SUM(K1467:K1468)</f>
        <v>132977.60000000001</v>
      </c>
      <c r="L1469" s="620"/>
      <c r="M1469" s="626"/>
      <c r="N1469" s="635"/>
      <c r="Q1469" s="595"/>
      <c r="R1469" s="484"/>
      <c r="S1469" s="595"/>
      <c r="T1469" s="595"/>
      <c r="U1469" s="595"/>
    </row>
    <row r="1470" spans="2:21" hidden="1">
      <c r="Q1470" s="595"/>
      <c r="R1470" s="484"/>
      <c r="S1470" s="595"/>
      <c r="T1470" s="595"/>
      <c r="U1470" s="595"/>
    </row>
    <row r="1471" spans="2:21" s="505" customFormat="1" ht="14.1" hidden="1" customHeight="1">
      <c r="B1471" s="951">
        <f>B1453+1</f>
        <v>75</v>
      </c>
      <c r="C1471" s="488"/>
      <c r="D1471" s="709" t="s">
        <v>512</v>
      </c>
      <c r="E1471" s="485"/>
      <c r="F1471" s="485"/>
      <c r="G1471" s="485"/>
      <c r="H1471" s="488"/>
      <c r="I1471" s="485"/>
      <c r="J1471" s="485"/>
      <c r="K1471" s="591" t="s">
        <v>247</v>
      </c>
      <c r="L1471" s="591"/>
      <c r="M1471" s="591"/>
      <c r="N1471" s="591"/>
      <c r="O1471" s="631" t="str">
        <f>D1472</f>
        <v>m2</v>
      </c>
      <c r="P1471" s="595">
        <f>K1488</f>
        <v>173508.61</v>
      </c>
      <c r="Q1471" s="593">
        <f>L1486</f>
        <v>0.60926823411550857</v>
      </c>
      <c r="R1471" s="484">
        <f>N1486</f>
        <v>94386.86</v>
      </c>
      <c r="S1471" s="594"/>
      <c r="T1471" s="484"/>
      <c r="U1471" s="593"/>
    </row>
    <row r="1472" spans="2:21" s="505" customFormat="1" ht="14.1" hidden="1" customHeight="1">
      <c r="B1472" s="951"/>
      <c r="C1472" s="488"/>
      <c r="D1472" s="485" t="s">
        <v>100</v>
      </c>
      <c r="E1472" s="485"/>
      <c r="F1472" s="485"/>
      <c r="G1472" s="485"/>
      <c r="H1472" s="488"/>
      <c r="I1472" s="485"/>
      <c r="J1472" s="485"/>
      <c r="K1472" s="485"/>
      <c r="L1472" s="485"/>
      <c r="M1472" s="485"/>
      <c r="N1472" s="485"/>
      <c r="O1472" s="631"/>
      <c r="Q1472" s="595"/>
      <c r="R1472" s="484"/>
      <c r="S1472" s="595"/>
      <c r="T1472" s="595"/>
      <c r="U1472" s="595"/>
    </row>
    <row r="1473" spans="2:21" s="505" customFormat="1" ht="14.1" hidden="1" customHeight="1">
      <c r="B1473" s="951"/>
      <c r="C1473" s="596"/>
      <c r="D1473" s="977" t="s">
        <v>55</v>
      </c>
      <c r="E1473" s="978"/>
      <c r="F1473" s="597"/>
      <c r="G1473" s="981" t="s">
        <v>56</v>
      </c>
      <c r="H1473" s="981" t="s">
        <v>57</v>
      </c>
      <c r="I1473" s="596" t="s">
        <v>58</v>
      </c>
      <c r="J1473" s="596" t="s">
        <v>59</v>
      </c>
      <c r="K1473" s="596" t="s">
        <v>102</v>
      </c>
      <c r="L1473" s="596" t="s">
        <v>418</v>
      </c>
      <c r="M1473" s="596" t="s">
        <v>419</v>
      </c>
      <c r="N1473" s="596" t="s">
        <v>59</v>
      </c>
      <c r="O1473" s="631"/>
      <c r="Q1473" s="595"/>
      <c r="R1473" s="484"/>
      <c r="S1473" s="595"/>
      <c r="T1473" s="595"/>
      <c r="U1473" s="595"/>
    </row>
    <row r="1474" spans="2:21" s="505" customFormat="1" ht="14.1" hidden="1" customHeight="1">
      <c r="B1474" s="951"/>
      <c r="C1474" s="598" t="s">
        <v>227</v>
      </c>
      <c r="D1474" s="979"/>
      <c r="E1474" s="980"/>
      <c r="F1474" s="599"/>
      <c r="G1474" s="982"/>
      <c r="H1474" s="982"/>
      <c r="I1474" s="598" t="s">
        <v>60</v>
      </c>
      <c r="J1474" s="598" t="s">
        <v>61</v>
      </c>
      <c r="K1474" s="598" t="s">
        <v>61</v>
      </c>
      <c r="L1474" s="598" t="s">
        <v>421</v>
      </c>
      <c r="M1474" s="598"/>
      <c r="N1474" s="598" t="s">
        <v>423</v>
      </c>
      <c r="O1474" s="631"/>
      <c r="Q1474" s="595"/>
      <c r="R1474" s="484"/>
      <c r="S1474" s="595"/>
      <c r="T1474" s="595"/>
      <c r="U1474" s="595"/>
    </row>
    <row r="1475" spans="2:21" s="505" customFormat="1" ht="14.1" hidden="1" customHeight="1">
      <c r="B1475" s="951"/>
      <c r="C1475" s="600"/>
      <c r="D1475" s="969"/>
      <c r="E1475" s="970"/>
      <c r="F1475" s="601"/>
      <c r="G1475" s="973"/>
      <c r="H1475" s="973"/>
      <c r="I1475" s="600" t="s">
        <v>61</v>
      </c>
      <c r="J1475" s="602"/>
      <c r="K1475" s="602"/>
      <c r="L1475" s="602"/>
      <c r="M1475" s="602"/>
      <c r="N1475" s="600" t="s">
        <v>61</v>
      </c>
      <c r="O1475" s="631"/>
      <c r="Q1475" s="595"/>
      <c r="R1475" s="484"/>
      <c r="S1475" s="595"/>
      <c r="T1475" s="595"/>
      <c r="U1475" s="595"/>
    </row>
    <row r="1476" spans="2:21" s="505" customFormat="1" ht="14.1" hidden="1" customHeight="1">
      <c r="B1476" s="951"/>
      <c r="C1476" s="596" t="s">
        <v>213</v>
      </c>
      <c r="D1476" s="603" t="s">
        <v>62</v>
      </c>
      <c r="E1476" s="710" t="s">
        <v>158</v>
      </c>
      <c r="F1476" s="710"/>
      <c r="G1476" s="605" t="s">
        <v>100</v>
      </c>
      <c r="H1476" s="711">
        <v>1.1000000000000001</v>
      </c>
      <c r="I1476" s="491">
        <f>'UPH-TNG'!$I$70</f>
        <v>122000</v>
      </c>
      <c r="J1476" s="491">
        <f>ROUND(H1476*I1476,2)</f>
        <v>134200</v>
      </c>
      <c r="K1476" s="492"/>
      <c r="L1476" s="501">
        <f>L756</f>
        <v>0.57130000000000003</v>
      </c>
      <c r="M1476" s="494" t="s">
        <v>429</v>
      </c>
      <c r="N1476" s="491">
        <f t="shared" ref="N1476:N1485" si="92">L1476*J1476</f>
        <v>76668.460000000006</v>
      </c>
      <c r="O1476" s="631"/>
      <c r="Q1476" s="595"/>
      <c r="R1476" s="484"/>
      <c r="S1476" s="595"/>
      <c r="T1476" s="595"/>
      <c r="U1476" s="595"/>
    </row>
    <row r="1477" spans="2:21" s="485" customFormat="1" ht="14.1" hidden="1" customHeight="1">
      <c r="B1477" s="951"/>
      <c r="C1477" s="598"/>
      <c r="D1477" s="607"/>
      <c r="E1477" s="710" t="s">
        <v>35</v>
      </c>
      <c r="F1477" s="710"/>
      <c r="G1477" s="605" t="s">
        <v>73</v>
      </c>
      <c r="H1477" s="711">
        <v>0.05</v>
      </c>
      <c r="I1477" s="491">
        <f>'UPH-TNG'!I131</f>
        <v>60000</v>
      </c>
      <c r="J1477" s="491">
        <f>ROUND(H1477*I1477,2)</f>
        <v>3000</v>
      </c>
      <c r="K1477" s="511"/>
      <c r="L1477" s="493"/>
      <c r="M1477" s="494"/>
      <c r="N1477" s="491">
        <f t="shared" si="92"/>
        <v>0</v>
      </c>
      <c r="Q1477" s="595"/>
      <c r="R1477" s="484"/>
      <c r="S1477" s="595"/>
      <c r="T1477" s="595"/>
      <c r="U1477" s="595"/>
    </row>
    <row r="1478" spans="2:21" s="505" customFormat="1" ht="14.1" hidden="1" customHeight="1">
      <c r="B1478" s="951"/>
      <c r="C1478" s="600"/>
      <c r="D1478" s="607"/>
      <c r="E1478" s="712"/>
      <c r="F1478" s="713"/>
      <c r="G1478" s="610"/>
      <c r="H1478" s="714"/>
      <c r="I1478" s="504"/>
      <c r="J1478" s="495"/>
      <c r="K1478" s="491">
        <f>SUM(J1476:J1477)</f>
        <v>137200</v>
      </c>
      <c r="L1478" s="493"/>
      <c r="M1478" s="494"/>
      <c r="N1478" s="491">
        <f t="shared" si="92"/>
        <v>0</v>
      </c>
      <c r="O1478" s="631"/>
      <c r="Q1478" s="595"/>
      <c r="R1478" s="484"/>
      <c r="S1478" s="595"/>
      <c r="T1478" s="595"/>
      <c r="U1478" s="595"/>
    </row>
    <row r="1479" spans="2:21" s="505" customFormat="1" ht="14.1" hidden="1" customHeight="1">
      <c r="B1479" s="951"/>
      <c r="C1479" s="596" t="s">
        <v>214</v>
      </c>
      <c r="D1479" s="603" t="s">
        <v>63</v>
      </c>
      <c r="E1479" s="710" t="s">
        <v>64</v>
      </c>
      <c r="F1479" s="710"/>
      <c r="G1479" s="605" t="s">
        <v>66</v>
      </c>
      <c r="H1479" s="711">
        <v>1.4999999999999999E-2</v>
      </c>
      <c r="I1479" s="491">
        <f>'UPH-TNG'!$I$15</f>
        <v>92000</v>
      </c>
      <c r="J1479" s="491">
        <f>ROUND(H1479*I1479,2)</f>
        <v>1380</v>
      </c>
      <c r="K1479" s="496"/>
      <c r="L1479" s="493">
        <v>1</v>
      </c>
      <c r="M1479" s="493" t="s">
        <v>422</v>
      </c>
      <c r="N1479" s="491">
        <f t="shared" si="92"/>
        <v>1380</v>
      </c>
      <c r="O1479" s="631"/>
      <c r="Q1479" s="595"/>
      <c r="R1479" s="484"/>
      <c r="S1479" s="595"/>
      <c r="T1479" s="595"/>
      <c r="U1479" s="595"/>
    </row>
    <row r="1480" spans="2:21" s="505" customFormat="1" ht="14.1" hidden="1" customHeight="1">
      <c r="B1480" s="951"/>
      <c r="C1480" s="598"/>
      <c r="D1480" s="607"/>
      <c r="E1480" s="710" t="s">
        <v>98</v>
      </c>
      <c r="F1480" s="710"/>
      <c r="G1480" s="605" t="s">
        <v>66</v>
      </c>
      <c r="H1480" s="711">
        <v>0.15</v>
      </c>
      <c r="I1480" s="491">
        <f>'UPH-TNG'!$I$24</f>
        <v>98000</v>
      </c>
      <c r="J1480" s="491">
        <f>ROUND(H1480*I1480,2)</f>
        <v>14700</v>
      </c>
      <c r="K1480" s="496"/>
      <c r="L1480" s="493">
        <v>1</v>
      </c>
      <c r="M1480" s="493" t="s">
        <v>422</v>
      </c>
      <c r="N1480" s="491">
        <f t="shared" si="92"/>
        <v>14700</v>
      </c>
      <c r="O1480" s="631"/>
      <c r="Q1480" s="595"/>
      <c r="R1480" s="484"/>
      <c r="S1480" s="595"/>
      <c r="T1480" s="595"/>
      <c r="U1480" s="595"/>
    </row>
    <row r="1481" spans="2:21" s="505" customFormat="1" ht="14.1" hidden="1" customHeight="1">
      <c r="B1481" s="951"/>
      <c r="C1481" s="598"/>
      <c r="D1481" s="607"/>
      <c r="E1481" s="710" t="s">
        <v>238</v>
      </c>
      <c r="F1481" s="710"/>
      <c r="G1481" s="605" t="s">
        <v>66</v>
      </c>
      <c r="H1481" s="711">
        <v>1.4999999999999999E-2</v>
      </c>
      <c r="I1481" s="494">
        <f>'UPH-TNG'!$I$19</f>
        <v>104000</v>
      </c>
      <c r="J1481" s="491">
        <f>ROUND(H1481*I1481,2)</f>
        <v>1560</v>
      </c>
      <c r="K1481" s="496"/>
      <c r="L1481" s="493">
        <v>1</v>
      </c>
      <c r="M1481" s="493" t="s">
        <v>422</v>
      </c>
      <c r="N1481" s="491">
        <f t="shared" si="92"/>
        <v>1560</v>
      </c>
      <c r="O1481" s="631"/>
      <c r="Q1481" s="595"/>
      <c r="R1481" s="484"/>
      <c r="S1481" s="595"/>
      <c r="T1481" s="595"/>
      <c r="U1481" s="595"/>
    </row>
    <row r="1482" spans="2:21" s="505" customFormat="1" ht="14.1" hidden="1" customHeight="1">
      <c r="B1482" s="951"/>
      <c r="C1482" s="598"/>
      <c r="D1482" s="607"/>
      <c r="E1482" s="710" t="s">
        <v>65</v>
      </c>
      <c r="F1482" s="710"/>
      <c r="G1482" s="605" t="s">
        <v>66</v>
      </c>
      <c r="H1482" s="716">
        <v>8.0000000000000004E-4</v>
      </c>
      <c r="I1482" s="491">
        <f>'UPH-TNG'!$I$20</f>
        <v>98000</v>
      </c>
      <c r="J1482" s="491">
        <f>ROUND(H1482*I1482,2)</f>
        <v>78.400000000000006</v>
      </c>
      <c r="K1482" s="607"/>
      <c r="L1482" s="493">
        <v>1</v>
      </c>
      <c r="M1482" s="493" t="s">
        <v>422</v>
      </c>
      <c r="N1482" s="491">
        <f t="shared" si="92"/>
        <v>78.400000000000006</v>
      </c>
      <c r="O1482" s="631"/>
      <c r="Q1482" s="595"/>
      <c r="R1482" s="484"/>
      <c r="S1482" s="595"/>
      <c r="T1482" s="595"/>
      <c r="U1482" s="595"/>
    </row>
    <row r="1483" spans="2:21" s="505" customFormat="1" ht="14.1" hidden="1" customHeight="1">
      <c r="B1483" s="951"/>
      <c r="C1483" s="600"/>
      <c r="D1483" s="602"/>
      <c r="E1483" s="612"/>
      <c r="F1483" s="613"/>
      <c r="G1483" s="610"/>
      <c r="H1483" s="614"/>
      <c r="I1483" s="504"/>
      <c r="J1483" s="495"/>
      <c r="K1483" s="494">
        <f>SUM(J1479:J1482)</f>
        <v>17718.400000000001</v>
      </c>
      <c r="L1483" s="493"/>
      <c r="M1483" s="494"/>
      <c r="N1483" s="491">
        <f t="shared" si="92"/>
        <v>0</v>
      </c>
      <c r="O1483" s="631"/>
      <c r="Q1483" s="595"/>
      <c r="R1483" s="484"/>
      <c r="S1483" s="595"/>
      <c r="T1483" s="595"/>
      <c r="U1483" s="595"/>
    </row>
    <row r="1484" spans="2:21" s="505" customFormat="1" ht="14.1" hidden="1" customHeight="1">
      <c r="B1484" s="951"/>
      <c r="C1484" s="596" t="s">
        <v>215</v>
      </c>
      <c r="D1484" s="603" t="s">
        <v>212</v>
      </c>
      <c r="E1484" s="615"/>
      <c r="F1484" s="615"/>
      <c r="G1484" s="605"/>
      <c r="H1484" s="616"/>
      <c r="I1484" s="617"/>
      <c r="J1484" s="491"/>
      <c r="K1484" s="492"/>
      <c r="L1484" s="493"/>
      <c r="M1484" s="494"/>
      <c r="N1484" s="491">
        <f t="shared" si="92"/>
        <v>0</v>
      </c>
      <c r="O1484" s="631"/>
      <c r="Q1484" s="595"/>
      <c r="R1484" s="484"/>
      <c r="S1484" s="595"/>
      <c r="T1484" s="595"/>
      <c r="U1484" s="595"/>
    </row>
    <row r="1485" spans="2:21" s="505" customFormat="1" ht="14.1" hidden="1" customHeight="1">
      <c r="B1485" s="951"/>
      <c r="C1485" s="600"/>
      <c r="D1485" s="602"/>
      <c r="E1485" s="612"/>
      <c r="F1485" s="613"/>
      <c r="G1485" s="610"/>
      <c r="H1485" s="614"/>
      <c r="I1485" s="618"/>
      <c r="J1485" s="495"/>
      <c r="K1485" s="494">
        <f>SUM(J1484:J1484)</f>
        <v>0</v>
      </c>
      <c r="L1485" s="493"/>
      <c r="M1485" s="494"/>
      <c r="N1485" s="491">
        <f t="shared" si="92"/>
        <v>0</v>
      </c>
      <c r="O1485" s="631"/>
      <c r="Q1485" s="595"/>
      <c r="R1485" s="484"/>
      <c r="S1485" s="595"/>
      <c r="T1485" s="595"/>
      <c r="U1485" s="595"/>
    </row>
    <row r="1486" spans="2:21" s="505" customFormat="1" ht="14.1" hidden="1" customHeight="1">
      <c r="B1486" s="951"/>
      <c r="C1486" s="605" t="s">
        <v>216</v>
      </c>
      <c r="D1486" s="619" t="s">
        <v>219</v>
      </c>
      <c r="E1486" s="613"/>
      <c r="F1486" s="613"/>
      <c r="G1486" s="610"/>
      <c r="H1486" s="614"/>
      <c r="I1486" s="618"/>
      <c r="J1486" s="497" t="s">
        <v>220</v>
      </c>
      <c r="K1486" s="494">
        <f>K1478+K1483+K1485</f>
        <v>154918.39999999999</v>
      </c>
      <c r="L1486" s="620">
        <f>N1486/K1486</f>
        <v>0.60926823411550857</v>
      </c>
      <c r="M1486" s="497"/>
      <c r="N1486" s="498">
        <f>SUM(N1475:N1485)</f>
        <v>94386.86</v>
      </c>
      <c r="O1486" s="631"/>
      <c r="Q1486" s="595"/>
      <c r="R1486" s="484"/>
      <c r="S1486" s="595"/>
      <c r="T1486" s="595"/>
      <c r="U1486" s="595"/>
    </row>
    <row r="1487" spans="2:21" s="505" customFormat="1" ht="14.1" hidden="1" customHeight="1">
      <c r="B1487" s="951"/>
      <c r="C1487" s="605" t="s">
        <v>217</v>
      </c>
      <c r="D1487" s="619" t="s">
        <v>221</v>
      </c>
      <c r="E1487" s="613"/>
      <c r="F1487" s="499">
        <f>$F$48</f>
        <v>0.1</v>
      </c>
      <c r="G1487" s="605" t="s">
        <v>168</v>
      </c>
      <c r="H1487" s="499">
        <f>$H$48</f>
        <v>0.02</v>
      </c>
      <c r="I1487" s="621" t="s">
        <v>167</v>
      </c>
      <c r="J1487" s="494" t="s">
        <v>216</v>
      </c>
      <c r="K1487" s="500">
        <f>ROUND((K1486*(F1487+H1487)),2)</f>
        <v>18590.21</v>
      </c>
      <c r="L1487" s="494"/>
      <c r="M1487" s="494"/>
      <c r="N1487" s="494"/>
      <c r="O1487" s="631"/>
      <c r="Q1487" s="595"/>
      <c r="R1487" s="484"/>
      <c r="S1487" s="595"/>
      <c r="T1487" s="595"/>
      <c r="U1487" s="595"/>
    </row>
    <row r="1488" spans="2:21" s="505" customFormat="1" ht="14.1" hidden="1" customHeight="1">
      <c r="B1488" s="951"/>
      <c r="C1488" s="622" t="s">
        <v>222</v>
      </c>
      <c r="D1488" s="623" t="s">
        <v>76</v>
      </c>
      <c r="E1488" s="624"/>
      <c r="F1488" s="624"/>
      <c r="G1488" s="624"/>
      <c r="H1488" s="625"/>
      <c r="I1488" s="624"/>
      <c r="J1488" s="626" t="s">
        <v>226</v>
      </c>
      <c r="K1488" s="627">
        <f>SUM(K1486:K1487)</f>
        <v>173508.61</v>
      </c>
      <c r="L1488" s="620"/>
      <c r="M1488" s="626"/>
      <c r="N1488" s="635"/>
      <c r="O1488" s="631"/>
      <c r="Q1488" s="595"/>
      <c r="R1488" s="484"/>
      <c r="S1488" s="595"/>
      <c r="T1488" s="595"/>
      <c r="U1488" s="595"/>
    </row>
    <row r="1489" spans="2:21" hidden="1">
      <c r="Q1489" s="595"/>
      <c r="R1489" s="484"/>
      <c r="S1489" s="595"/>
      <c r="T1489" s="595"/>
      <c r="U1489" s="595"/>
    </row>
    <row r="1490" spans="2:21" s="505" customFormat="1" ht="14.1" hidden="1" customHeight="1">
      <c r="B1490" s="951">
        <f>B1471+1</f>
        <v>76</v>
      </c>
      <c r="C1490" s="488"/>
      <c r="D1490" s="709" t="s">
        <v>503</v>
      </c>
      <c r="E1490" s="485"/>
      <c r="F1490" s="485"/>
      <c r="G1490" s="485"/>
      <c r="H1490" s="488"/>
      <c r="I1490" s="485"/>
      <c r="J1490" s="485"/>
      <c r="K1490" s="591" t="s">
        <v>248</v>
      </c>
      <c r="L1490" s="591"/>
      <c r="M1490" s="591"/>
      <c r="N1490" s="591"/>
      <c r="O1490" s="718" t="str">
        <f>D1491</f>
        <v>m2</v>
      </c>
      <c r="P1490" s="595">
        <f>K1508</f>
        <v>27836.7</v>
      </c>
      <c r="Q1490" s="593">
        <f>L1506</f>
        <v>0.50690410473883685</v>
      </c>
      <c r="R1490" s="484">
        <f>N1506</f>
        <v>12598.696</v>
      </c>
      <c r="S1490" s="594"/>
      <c r="T1490" s="484"/>
      <c r="U1490" s="593"/>
    </row>
    <row r="1491" spans="2:21" s="505" customFormat="1" ht="14.1" hidden="1" customHeight="1">
      <c r="B1491" s="951"/>
      <c r="C1491" s="488"/>
      <c r="D1491" s="709" t="s">
        <v>100</v>
      </c>
      <c r="E1491" s="485"/>
      <c r="F1491" s="485"/>
      <c r="G1491" s="485"/>
      <c r="H1491" s="488"/>
      <c r="I1491" s="485"/>
      <c r="J1491" s="485"/>
      <c r="K1491" s="591"/>
      <c r="L1491" s="591"/>
      <c r="M1491" s="591"/>
      <c r="N1491" s="591"/>
      <c r="O1491" s="631"/>
      <c r="Q1491" s="595"/>
      <c r="R1491" s="484"/>
      <c r="S1491" s="595"/>
      <c r="T1491" s="595"/>
      <c r="U1491" s="595"/>
    </row>
    <row r="1492" spans="2:21" s="505" customFormat="1" ht="14.1" hidden="1" customHeight="1">
      <c r="B1492" s="951"/>
      <c r="C1492" s="596"/>
      <c r="D1492" s="977" t="s">
        <v>55</v>
      </c>
      <c r="E1492" s="978"/>
      <c r="F1492" s="597"/>
      <c r="G1492" s="981" t="s">
        <v>56</v>
      </c>
      <c r="H1492" s="981" t="s">
        <v>57</v>
      </c>
      <c r="I1492" s="596" t="s">
        <v>58</v>
      </c>
      <c r="J1492" s="596" t="s">
        <v>59</v>
      </c>
      <c r="K1492" s="596" t="s">
        <v>102</v>
      </c>
      <c r="L1492" s="596" t="s">
        <v>418</v>
      </c>
      <c r="M1492" s="596" t="s">
        <v>419</v>
      </c>
      <c r="N1492" s="596" t="s">
        <v>59</v>
      </c>
      <c r="O1492" s="631"/>
      <c r="Q1492" s="595"/>
      <c r="R1492" s="484"/>
      <c r="S1492" s="595"/>
      <c r="T1492" s="595"/>
      <c r="U1492" s="595"/>
    </row>
    <row r="1493" spans="2:21" s="505" customFormat="1" ht="14.1" hidden="1" customHeight="1">
      <c r="B1493" s="951"/>
      <c r="C1493" s="598" t="s">
        <v>227</v>
      </c>
      <c r="D1493" s="979"/>
      <c r="E1493" s="980"/>
      <c r="F1493" s="599"/>
      <c r="G1493" s="982"/>
      <c r="H1493" s="982"/>
      <c r="I1493" s="598" t="s">
        <v>60</v>
      </c>
      <c r="J1493" s="598" t="s">
        <v>61</v>
      </c>
      <c r="K1493" s="598" t="s">
        <v>61</v>
      </c>
      <c r="L1493" s="598" t="s">
        <v>421</v>
      </c>
      <c r="M1493" s="598"/>
      <c r="N1493" s="598" t="s">
        <v>423</v>
      </c>
      <c r="O1493" s="631"/>
      <c r="Q1493" s="595"/>
      <c r="R1493" s="484"/>
      <c r="S1493" s="595"/>
      <c r="T1493" s="595"/>
      <c r="U1493" s="595"/>
    </row>
    <row r="1494" spans="2:21" s="505" customFormat="1" ht="14.1" hidden="1" customHeight="1">
      <c r="B1494" s="951"/>
      <c r="C1494" s="600"/>
      <c r="D1494" s="969"/>
      <c r="E1494" s="970"/>
      <c r="F1494" s="601"/>
      <c r="G1494" s="973"/>
      <c r="H1494" s="973"/>
      <c r="I1494" s="600" t="s">
        <v>61</v>
      </c>
      <c r="J1494" s="602"/>
      <c r="K1494" s="602"/>
      <c r="L1494" s="602"/>
      <c r="M1494" s="602"/>
      <c r="N1494" s="600" t="s">
        <v>61</v>
      </c>
      <c r="O1494" s="631"/>
      <c r="Q1494" s="595"/>
      <c r="R1494" s="484"/>
      <c r="S1494" s="595"/>
      <c r="T1494" s="595"/>
      <c r="U1494" s="595"/>
    </row>
    <row r="1495" spans="2:21" s="505" customFormat="1" ht="14.1" hidden="1" customHeight="1">
      <c r="B1495" s="951"/>
      <c r="C1495" s="596" t="s">
        <v>213</v>
      </c>
      <c r="D1495" s="603" t="s">
        <v>62</v>
      </c>
      <c r="E1495" s="710" t="s">
        <v>133</v>
      </c>
      <c r="F1495" s="710"/>
      <c r="G1495" s="605" t="s">
        <v>73</v>
      </c>
      <c r="H1495" s="711">
        <v>0.1</v>
      </c>
      <c r="I1495" s="491">
        <f>'UPH-TNG'!$I$121</f>
        <v>20400</v>
      </c>
      <c r="J1495" s="491">
        <f>ROUND(H1495*I1495,2)</f>
        <v>2040</v>
      </c>
      <c r="K1495" s="492"/>
      <c r="L1495" s="501">
        <v>0</v>
      </c>
      <c r="M1495" s="494"/>
      <c r="N1495" s="491">
        <f t="shared" ref="N1495:N1505" si="93">L1495*J1495</f>
        <v>0</v>
      </c>
      <c r="O1495" s="631"/>
      <c r="Q1495" s="595"/>
      <c r="R1495" s="484"/>
      <c r="S1495" s="595"/>
      <c r="T1495" s="595"/>
      <c r="U1495" s="595"/>
    </row>
    <row r="1496" spans="2:21" s="505" customFormat="1" ht="14.1" hidden="1" customHeight="1">
      <c r="B1496" s="951"/>
      <c r="C1496" s="598"/>
      <c r="D1496" s="607"/>
      <c r="E1496" s="710" t="s">
        <v>134</v>
      </c>
      <c r="F1496" s="710"/>
      <c r="G1496" s="605" t="s">
        <v>73</v>
      </c>
      <c r="H1496" s="711">
        <v>0.1</v>
      </c>
      <c r="I1496" s="491">
        <f>'UPH-TNG'!$I$53</f>
        <v>39000</v>
      </c>
      <c r="J1496" s="491">
        <f>ROUND(H1496*I1496,2)</f>
        <v>3900</v>
      </c>
      <c r="K1496" s="496"/>
      <c r="L1496" s="501">
        <v>0.27239999999999998</v>
      </c>
      <c r="M1496" s="494" t="s">
        <v>429</v>
      </c>
      <c r="N1496" s="491">
        <f t="shared" si="93"/>
        <v>1062.3599999999999</v>
      </c>
      <c r="O1496" s="631"/>
      <c r="Q1496" s="595"/>
      <c r="R1496" s="484"/>
      <c r="S1496" s="595"/>
      <c r="T1496" s="595"/>
      <c r="U1496" s="595"/>
    </row>
    <row r="1497" spans="2:21" s="505" customFormat="1" ht="14.1" hidden="1" customHeight="1">
      <c r="B1497" s="951"/>
      <c r="C1497" s="598"/>
      <c r="D1497" s="607"/>
      <c r="E1497" s="710" t="s">
        <v>135</v>
      </c>
      <c r="F1497" s="710"/>
      <c r="G1497" s="605" t="s">
        <v>73</v>
      </c>
      <c r="H1497" s="711">
        <v>0.26</v>
      </c>
      <c r="I1497" s="491">
        <f>I1496</f>
        <v>39000</v>
      </c>
      <c r="J1497" s="491">
        <f>ROUND(H1497*I1497,2)</f>
        <v>10140</v>
      </c>
      <c r="K1497" s="511"/>
      <c r="L1497" s="501">
        <f>L1496</f>
        <v>0.27239999999999998</v>
      </c>
      <c r="M1497" s="494" t="s">
        <v>429</v>
      </c>
      <c r="N1497" s="491">
        <f t="shared" si="93"/>
        <v>2762.136</v>
      </c>
      <c r="O1497" s="631"/>
      <c r="Q1497" s="595"/>
      <c r="R1497" s="484"/>
      <c r="S1497" s="595"/>
      <c r="T1497" s="595"/>
      <c r="U1497" s="595"/>
    </row>
    <row r="1498" spans="2:21" s="505" customFormat="1" ht="14.1" hidden="1" customHeight="1">
      <c r="B1498" s="951"/>
      <c r="C1498" s="600"/>
      <c r="D1498" s="607"/>
      <c r="E1498" s="712"/>
      <c r="F1498" s="713"/>
      <c r="G1498" s="610"/>
      <c r="H1498" s="714"/>
      <c r="I1498" s="504"/>
      <c r="J1498" s="495"/>
      <c r="K1498" s="491">
        <f>SUM(J1495:J1497)</f>
        <v>16080</v>
      </c>
      <c r="L1498" s="493"/>
      <c r="M1498" s="494"/>
      <c r="N1498" s="491">
        <f t="shared" si="93"/>
        <v>0</v>
      </c>
      <c r="O1498" s="631"/>
      <c r="Q1498" s="595"/>
      <c r="R1498" s="484"/>
      <c r="S1498" s="595"/>
      <c r="T1498" s="595"/>
      <c r="U1498" s="595"/>
    </row>
    <row r="1499" spans="2:21" s="505" customFormat="1" ht="14.1" hidden="1" customHeight="1">
      <c r="B1499" s="951"/>
      <c r="C1499" s="596" t="s">
        <v>214</v>
      </c>
      <c r="D1499" s="603" t="s">
        <v>63</v>
      </c>
      <c r="E1499" s="710" t="s">
        <v>64</v>
      </c>
      <c r="F1499" s="710"/>
      <c r="G1499" s="605" t="s">
        <v>66</v>
      </c>
      <c r="H1499" s="711">
        <v>0.02</v>
      </c>
      <c r="I1499" s="491">
        <f>'UPH-TNG'!$I$15</f>
        <v>92000</v>
      </c>
      <c r="J1499" s="491">
        <f>ROUND(H1499*I1499,2)</f>
        <v>1840</v>
      </c>
      <c r="K1499" s="492"/>
      <c r="L1499" s="493">
        <v>1</v>
      </c>
      <c r="M1499" s="493" t="s">
        <v>422</v>
      </c>
      <c r="N1499" s="491">
        <f t="shared" si="93"/>
        <v>1840</v>
      </c>
      <c r="O1499" s="631"/>
      <c r="Q1499" s="595"/>
      <c r="R1499" s="484"/>
      <c r="S1499" s="595"/>
      <c r="T1499" s="595"/>
      <c r="U1499" s="595"/>
    </row>
    <row r="1500" spans="2:21" s="505" customFormat="1" ht="14.1" hidden="1" customHeight="1">
      <c r="B1500" s="951"/>
      <c r="C1500" s="598"/>
      <c r="D1500" s="607"/>
      <c r="E1500" s="710" t="s">
        <v>126</v>
      </c>
      <c r="F1500" s="710"/>
      <c r="G1500" s="605" t="s">
        <v>66</v>
      </c>
      <c r="H1500" s="711">
        <v>6.3E-2</v>
      </c>
      <c r="I1500" s="491">
        <f>'UPH-TNG'!$I$23</f>
        <v>95000</v>
      </c>
      <c r="J1500" s="491">
        <f>ROUND(H1500*I1500,2)</f>
        <v>5985</v>
      </c>
      <c r="K1500" s="496"/>
      <c r="L1500" s="493">
        <v>1</v>
      </c>
      <c r="M1500" s="493" t="s">
        <v>422</v>
      </c>
      <c r="N1500" s="491">
        <f t="shared" si="93"/>
        <v>5985</v>
      </c>
      <c r="O1500" s="631"/>
      <c r="Q1500" s="595"/>
      <c r="R1500" s="484"/>
      <c r="S1500" s="595"/>
      <c r="T1500" s="595"/>
      <c r="U1500" s="595"/>
    </row>
    <row r="1501" spans="2:21" s="505" customFormat="1" ht="14.1" hidden="1" customHeight="1">
      <c r="B1501" s="951"/>
      <c r="C1501" s="598"/>
      <c r="D1501" s="607"/>
      <c r="E1501" s="710" t="s">
        <v>124</v>
      </c>
      <c r="F1501" s="710"/>
      <c r="G1501" s="605" t="s">
        <v>66</v>
      </c>
      <c r="H1501" s="716">
        <v>6.3E-3</v>
      </c>
      <c r="I1501" s="491">
        <f>'UPH-TNG'!$I$18</f>
        <v>104000</v>
      </c>
      <c r="J1501" s="491">
        <f>ROUND(H1501*I1501,2)</f>
        <v>655.20000000000005</v>
      </c>
      <c r="K1501" s="496"/>
      <c r="L1501" s="493">
        <v>1</v>
      </c>
      <c r="M1501" s="493" t="s">
        <v>422</v>
      </c>
      <c r="N1501" s="491">
        <f t="shared" si="93"/>
        <v>655.20000000000005</v>
      </c>
      <c r="O1501" s="631"/>
      <c r="Q1501" s="595"/>
      <c r="R1501" s="484"/>
      <c r="S1501" s="595"/>
      <c r="T1501" s="595"/>
      <c r="U1501" s="595"/>
    </row>
    <row r="1502" spans="2:21" s="505" customFormat="1" ht="14.1" hidden="1" customHeight="1">
      <c r="B1502" s="951"/>
      <c r="C1502" s="598"/>
      <c r="D1502" s="607"/>
      <c r="E1502" s="710" t="s">
        <v>65</v>
      </c>
      <c r="F1502" s="710"/>
      <c r="G1502" s="605" t="s">
        <v>66</v>
      </c>
      <c r="H1502" s="711">
        <v>3.0000000000000001E-3</v>
      </c>
      <c r="I1502" s="491">
        <f>'UPH-TNG'!$I$20</f>
        <v>98000</v>
      </c>
      <c r="J1502" s="491">
        <f>ROUND(H1502*I1502,2)</f>
        <v>294</v>
      </c>
      <c r="K1502" s="607"/>
      <c r="L1502" s="493">
        <v>1</v>
      </c>
      <c r="M1502" s="493" t="s">
        <v>422</v>
      </c>
      <c r="N1502" s="491">
        <f t="shared" si="93"/>
        <v>294</v>
      </c>
      <c r="O1502" s="631"/>
      <c r="Q1502" s="595"/>
      <c r="R1502" s="484"/>
      <c r="S1502" s="595"/>
      <c r="T1502" s="595"/>
      <c r="U1502" s="595"/>
    </row>
    <row r="1503" spans="2:21" s="505" customFormat="1" ht="14.1" hidden="1" customHeight="1">
      <c r="B1503" s="951"/>
      <c r="C1503" s="600"/>
      <c r="D1503" s="602"/>
      <c r="E1503" s="612"/>
      <c r="F1503" s="613"/>
      <c r="G1503" s="610"/>
      <c r="H1503" s="614"/>
      <c r="I1503" s="504"/>
      <c r="J1503" s="495"/>
      <c r="K1503" s="494">
        <f>SUM(J1499:J1502)</f>
        <v>8774.2000000000007</v>
      </c>
      <c r="L1503" s="493"/>
      <c r="M1503" s="494"/>
      <c r="N1503" s="491">
        <f t="shared" si="93"/>
        <v>0</v>
      </c>
      <c r="O1503" s="631"/>
      <c r="Q1503" s="595"/>
      <c r="R1503" s="484"/>
      <c r="S1503" s="595"/>
      <c r="T1503" s="595"/>
      <c r="U1503" s="595"/>
    </row>
    <row r="1504" spans="2:21" s="505" customFormat="1" ht="14.1" hidden="1" customHeight="1">
      <c r="B1504" s="951"/>
      <c r="C1504" s="596" t="s">
        <v>215</v>
      </c>
      <c r="D1504" s="603" t="s">
        <v>212</v>
      </c>
      <c r="E1504" s="615"/>
      <c r="F1504" s="615"/>
      <c r="G1504" s="605"/>
      <c r="H1504" s="616"/>
      <c r="I1504" s="617"/>
      <c r="J1504" s="491"/>
      <c r="K1504" s="492"/>
      <c r="L1504" s="493"/>
      <c r="M1504" s="494"/>
      <c r="N1504" s="491">
        <f t="shared" si="93"/>
        <v>0</v>
      </c>
      <c r="O1504" s="631"/>
      <c r="Q1504" s="595"/>
      <c r="R1504" s="484"/>
      <c r="S1504" s="595"/>
      <c r="T1504" s="595"/>
      <c r="U1504" s="595"/>
    </row>
    <row r="1505" spans="2:23" s="505" customFormat="1" ht="14.1" hidden="1" customHeight="1">
      <c r="B1505" s="951"/>
      <c r="C1505" s="600"/>
      <c r="D1505" s="602"/>
      <c r="E1505" s="612"/>
      <c r="F1505" s="613"/>
      <c r="G1505" s="610"/>
      <c r="H1505" s="614"/>
      <c r="I1505" s="618"/>
      <c r="J1505" s="495"/>
      <c r="K1505" s="494">
        <f>SUM(J1504:J1504)</f>
        <v>0</v>
      </c>
      <c r="L1505" s="493"/>
      <c r="M1505" s="494"/>
      <c r="N1505" s="491">
        <f t="shared" si="93"/>
        <v>0</v>
      </c>
      <c r="O1505" s="631"/>
      <c r="Q1505" s="595"/>
      <c r="R1505" s="484"/>
      <c r="S1505" s="595"/>
      <c r="T1505" s="595"/>
      <c r="U1505" s="595"/>
    </row>
    <row r="1506" spans="2:23" s="505" customFormat="1" ht="14.1" hidden="1" customHeight="1">
      <c r="B1506" s="951"/>
      <c r="C1506" s="605" t="s">
        <v>216</v>
      </c>
      <c r="D1506" s="619" t="s">
        <v>219</v>
      </c>
      <c r="E1506" s="613"/>
      <c r="F1506" s="613"/>
      <c r="G1506" s="610"/>
      <c r="H1506" s="614"/>
      <c r="I1506" s="618"/>
      <c r="J1506" s="497" t="s">
        <v>220</v>
      </c>
      <c r="K1506" s="494">
        <f>K1498+K1503+K1505</f>
        <v>24854.2</v>
      </c>
      <c r="L1506" s="620">
        <f>N1506/K1506</f>
        <v>0.50690410473883685</v>
      </c>
      <c r="M1506" s="497"/>
      <c r="N1506" s="498">
        <f>SUM(N1495:N1505)</f>
        <v>12598.696</v>
      </c>
      <c r="O1506" s="631"/>
      <c r="Q1506" s="595"/>
      <c r="R1506" s="484"/>
      <c r="S1506" s="595"/>
      <c r="T1506" s="595"/>
      <c r="U1506" s="595"/>
    </row>
    <row r="1507" spans="2:23" s="505" customFormat="1" ht="14.1" hidden="1" customHeight="1">
      <c r="B1507" s="951"/>
      <c r="C1507" s="605" t="s">
        <v>217</v>
      </c>
      <c r="D1507" s="619" t="s">
        <v>221</v>
      </c>
      <c r="E1507" s="613"/>
      <c r="F1507" s="499">
        <f>$F$48</f>
        <v>0.1</v>
      </c>
      <c r="G1507" s="605" t="s">
        <v>168</v>
      </c>
      <c r="H1507" s="499">
        <f>$H$48</f>
        <v>0.02</v>
      </c>
      <c r="I1507" s="621" t="s">
        <v>167</v>
      </c>
      <c r="J1507" s="494" t="s">
        <v>216</v>
      </c>
      <c r="K1507" s="500">
        <f>ROUND((K1506*(F1507+H1507)),2)</f>
        <v>2982.5</v>
      </c>
      <c r="L1507" s="494"/>
      <c r="M1507" s="494"/>
      <c r="N1507" s="494"/>
      <c r="O1507" s="631"/>
      <c r="Q1507" s="595"/>
      <c r="R1507" s="484"/>
      <c r="S1507" s="595"/>
      <c r="T1507" s="595"/>
      <c r="U1507" s="595"/>
    </row>
    <row r="1508" spans="2:23" s="505" customFormat="1" ht="14.1" hidden="1" customHeight="1">
      <c r="B1508" s="951"/>
      <c r="C1508" s="622" t="s">
        <v>222</v>
      </c>
      <c r="D1508" s="623" t="s">
        <v>76</v>
      </c>
      <c r="E1508" s="624"/>
      <c r="F1508" s="624"/>
      <c r="G1508" s="624"/>
      <c r="H1508" s="625"/>
      <c r="I1508" s="624"/>
      <c r="J1508" s="626" t="s">
        <v>226</v>
      </c>
      <c r="K1508" s="627">
        <f>SUM(K1506:K1507)</f>
        <v>27836.7</v>
      </c>
      <c r="L1508" s="620"/>
      <c r="M1508" s="626"/>
      <c r="N1508" s="635"/>
      <c r="O1508" s="631"/>
      <c r="Q1508" s="595"/>
      <c r="R1508" s="484"/>
      <c r="S1508" s="595"/>
      <c r="T1508" s="595"/>
      <c r="U1508" s="595"/>
    </row>
    <row r="1509" spans="2:23" hidden="1">
      <c r="Q1509" s="595"/>
      <c r="R1509" s="484"/>
      <c r="S1509" s="595"/>
      <c r="T1509" s="595"/>
      <c r="U1509" s="595"/>
    </row>
    <row r="1510" spans="2:23" s="485" customFormat="1" ht="12.95" hidden="1" customHeight="1">
      <c r="B1510" s="951">
        <f>B1490+1</f>
        <v>77</v>
      </c>
      <c r="C1510" s="488"/>
      <c r="D1510" s="485" t="s">
        <v>504</v>
      </c>
      <c r="H1510" s="488"/>
      <c r="K1510" s="591" t="s">
        <v>249</v>
      </c>
      <c r="L1510" s="591"/>
      <c r="M1510" s="591"/>
      <c r="N1510" s="591"/>
      <c r="O1510" s="485" t="str">
        <f>D1511</f>
        <v>m2</v>
      </c>
      <c r="P1510" s="636">
        <f>K1528</f>
        <v>56409.02</v>
      </c>
      <c r="Q1510" s="593">
        <f>L1526</f>
        <v>0.444497391055729</v>
      </c>
      <c r="R1510" s="484">
        <f>N1526</f>
        <v>22387.200000000001</v>
      </c>
      <c r="S1510" s="594"/>
      <c r="T1510" s="484"/>
      <c r="U1510" s="593"/>
    </row>
    <row r="1511" spans="2:23" s="485" customFormat="1" ht="12.95" hidden="1" customHeight="1">
      <c r="B1511" s="951"/>
      <c r="C1511" s="488"/>
      <c r="D1511" s="485" t="s">
        <v>100</v>
      </c>
      <c r="H1511" s="488"/>
      <c r="Q1511" s="595"/>
      <c r="R1511" s="484"/>
      <c r="S1511" s="595"/>
      <c r="T1511" s="595"/>
      <c r="U1511" s="595"/>
    </row>
    <row r="1512" spans="2:23" s="485" customFormat="1" ht="12.95" hidden="1" customHeight="1">
      <c r="B1512" s="951"/>
      <c r="C1512" s="596"/>
      <c r="D1512" s="977" t="s">
        <v>55</v>
      </c>
      <c r="E1512" s="978"/>
      <c r="F1512" s="597"/>
      <c r="G1512" s="981" t="s">
        <v>56</v>
      </c>
      <c r="H1512" s="981" t="s">
        <v>57</v>
      </c>
      <c r="I1512" s="596" t="s">
        <v>58</v>
      </c>
      <c r="J1512" s="596" t="s">
        <v>59</v>
      </c>
      <c r="K1512" s="596" t="s">
        <v>102</v>
      </c>
      <c r="L1512" s="596" t="s">
        <v>418</v>
      </c>
      <c r="M1512" s="596" t="s">
        <v>419</v>
      </c>
      <c r="N1512" s="596" t="s">
        <v>59</v>
      </c>
      <c r="Q1512" s="595"/>
      <c r="R1512" s="484"/>
      <c r="S1512" s="595"/>
      <c r="T1512" s="595"/>
      <c r="U1512" s="595"/>
    </row>
    <row r="1513" spans="2:23" s="485" customFormat="1" ht="12.95" hidden="1" customHeight="1">
      <c r="B1513" s="951"/>
      <c r="C1513" s="598" t="s">
        <v>227</v>
      </c>
      <c r="D1513" s="979"/>
      <c r="E1513" s="980"/>
      <c r="F1513" s="599"/>
      <c r="G1513" s="982"/>
      <c r="H1513" s="982"/>
      <c r="I1513" s="598" t="s">
        <v>60</v>
      </c>
      <c r="J1513" s="598" t="s">
        <v>61</v>
      </c>
      <c r="K1513" s="598" t="s">
        <v>61</v>
      </c>
      <c r="L1513" s="598" t="s">
        <v>421</v>
      </c>
      <c r="M1513" s="598"/>
      <c r="N1513" s="598" t="s">
        <v>423</v>
      </c>
      <c r="Q1513" s="595"/>
      <c r="R1513" s="484"/>
      <c r="S1513" s="595"/>
      <c r="T1513" s="595"/>
      <c r="U1513" s="595"/>
    </row>
    <row r="1514" spans="2:23" s="485" customFormat="1" ht="12.95" hidden="1" customHeight="1">
      <c r="B1514" s="951"/>
      <c r="C1514" s="600"/>
      <c r="D1514" s="969"/>
      <c r="E1514" s="970"/>
      <c r="F1514" s="601"/>
      <c r="G1514" s="973"/>
      <c r="H1514" s="973"/>
      <c r="I1514" s="600" t="s">
        <v>61</v>
      </c>
      <c r="J1514" s="602"/>
      <c r="K1514" s="602"/>
      <c r="L1514" s="602"/>
      <c r="M1514" s="602"/>
      <c r="N1514" s="600" t="s">
        <v>61</v>
      </c>
      <c r="Q1514" s="595"/>
      <c r="R1514" s="484"/>
      <c r="S1514" s="595"/>
      <c r="T1514" s="595"/>
      <c r="U1514" s="595"/>
    </row>
    <row r="1515" spans="2:23" s="505" customFormat="1" ht="14.1" hidden="1" customHeight="1">
      <c r="B1515" s="951"/>
      <c r="C1515" s="596" t="s">
        <v>213</v>
      </c>
      <c r="D1515" s="603" t="s">
        <v>62</v>
      </c>
      <c r="E1515" s="710" t="s">
        <v>133</v>
      </c>
      <c r="F1515" s="710"/>
      <c r="G1515" s="605" t="s">
        <v>73</v>
      </c>
      <c r="H1515" s="711">
        <v>0.1</v>
      </c>
      <c r="I1515" s="491">
        <f>'UPH-TNG'!$I$121</f>
        <v>20400</v>
      </c>
      <c r="J1515" s="491">
        <f>ROUND(H1515*I1515,2)</f>
        <v>2040</v>
      </c>
      <c r="K1515" s="496"/>
      <c r="L1515" s="501">
        <v>0</v>
      </c>
      <c r="M1515" s="494"/>
      <c r="N1515" s="491">
        <f t="shared" ref="N1515:N1525" si="94">L1515*J1515</f>
        <v>0</v>
      </c>
      <c r="O1515" s="631"/>
      <c r="Q1515" s="595"/>
      <c r="R1515" s="484"/>
      <c r="S1515" s="595"/>
      <c r="T1515" s="595"/>
      <c r="U1515" s="595"/>
    </row>
    <row r="1516" spans="2:23" s="485" customFormat="1" ht="12.95" hidden="1" customHeight="1">
      <c r="B1516" s="951"/>
      <c r="C1516" s="598"/>
      <c r="D1516" s="607"/>
      <c r="E1516" s="615" t="s">
        <v>134</v>
      </c>
      <c r="F1516" s="615"/>
      <c r="G1516" s="605" t="s">
        <v>73</v>
      </c>
      <c r="H1516" s="711">
        <v>0.1</v>
      </c>
      <c r="I1516" s="512">
        <f>'UPH-TNG'!$I$54</f>
        <v>110000</v>
      </c>
      <c r="J1516" s="491">
        <f>ROUND(H1516*I1516,2)</f>
        <v>11000</v>
      </c>
      <c r="K1516" s="496"/>
      <c r="L1516" s="501">
        <v>0.34499999999999997</v>
      </c>
      <c r="M1516" s="494" t="s">
        <v>429</v>
      </c>
      <c r="N1516" s="491">
        <f t="shared" si="94"/>
        <v>3794.9999999999995</v>
      </c>
      <c r="P1516" s="636">
        <f>I1516*20</f>
        <v>2200000</v>
      </c>
      <c r="Q1516" s="595">
        <v>2600000</v>
      </c>
      <c r="R1516" s="484"/>
      <c r="S1516" s="595"/>
      <c r="T1516" s="595"/>
      <c r="U1516" s="595"/>
    </row>
    <row r="1517" spans="2:23" s="485" customFormat="1" ht="12.95" hidden="1" customHeight="1">
      <c r="B1517" s="951"/>
      <c r="C1517" s="598"/>
      <c r="D1517" s="607"/>
      <c r="E1517" s="612" t="s">
        <v>25</v>
      </c>
      <c r="F1517" s="615"/>
      <c r="G1517" s="605" t="s">
        <v>73</v>
      </c>
      <c r="H1517" s="711">
        <v>0.26</v>
      </c>
      <c r="I1517" s="512">
        <f>'UPH-TNG'!$I$54</f>
        <v>110000</v>
      </c>
      <c r="J1517" s="491">
        <f>ROUND(H1517*I1517,2)</f>
        <v>28600</v>
      </c>
      <c r="K1517" s="496"/>
      <c r="L1517" s="501">
        <f>L1516</f>
        <v>0.34499999999999997</v>
      </c>
      <c r="M1517" s="494" t="s">
        <v>429</v>
      </c>
      <c r="N1517" s="491">
        <f t="shared" si="94"/>
        <v>9867</v>
      </c>
      <c r="P1517" s="485">
        <v>1.3</v>
      </c>
      <c r="Q1517" s="595">
        <f>Q1516/(20*1.2)</f>
        <v>108333.33333333333</v>
      </c>
      <c r="R1517" s="484"/>
      <c r="S1517" s="595"/>
      <c r="T1517" s="595"/>
      <c r="U1517" s="595"/>
      <c r="V1517" s="485">
        <v>20</v>
      </c>
      <c r="W1517" s="485">
        <f>V1517*P1517</f>
        <v>26</v>
      </c>
    </row>
    <row r="1518" spans="2:23" s="485" customFormat="1" ht="12.95" hidden="1" customHeight="1">
      <c r="B1518" s="951"/>
      <c r="C1518" s="600"/>
      <c r="D1518" s="607"/>
      <c r="E1518" s="612"/>
      <c r="F1518" s="613"/>
      <c r="G1518" s="610"/>
      <c r="H1518" s="614"/>
      <c r="I1518" s="513"/>
      <c r="J1518" s="495"/>
      <c r="K1518" s="491">
        <f>SUM(J1515:J1517)</f>
        <v>41640</v>
      </c>
      <c r="L1518" s="493"/>
      <c r="M1518" s="494"/>
      <c r="N1518" s="491">
        <f t="shared" si="94"/>
        <v>0</v>
      </c>
      <c r="P1518" s="636">
        <f>I1517*W1517</f>
        <v>2860000</v>
      </c>
      <c r="Q1518" s="595">
        <f>20*1.2</f>
        <v>24</v>
      </c>
      <c r="R1518" s="484"/>
      <c r="S1518" s="595"/>
      <c r="T1518" s="595"/>
      <c r="U1518" s="595"/>
    </row>
    <row r="1519" spans="2:23" s="485" customFormat="1" ht="12.95" hidden="1" customHeight="1">
      <c r="B1519" s="951"/>
      <c r="C1519" s="596" t="s">
        <v>214</v>
      </c>
      <c r="D1519" s="603" t="s">
        <v>63</v>
      </c>
      <c r="E1519" s="604" t="s">
        <v>64</v>
      </c>
      <c r="F1519" s="604"/>
      <c r="G1519" s="605" t="s">
        <v>66</v>
      </c>
      <c r="H1519" s="606">
        <v>0.02</v>
      </c>
      <c r="I1519" s="512">
        <f>'UPH-TNG'!$I$15</f>
        <v>92000</v>
      </c>
      <c r="J1519" s="491">
        <f>ROUND(H1519*I1519,2)</f>
        <v>1840</v>
      </c>
      <c r="K1519" s="492"/>
      <c r="L1519" s="493">
        <v>1</v>
      </c>
      <c r="M1519" s="493" t="s">
        <v>422</v>
      </c>
      <c r="N1519" s="491">
        <f t="shared" si="94"/>
        <v>1840</v>
      </c>
      <c r="Q1519" s="595">
        <f>Q1516/Q1518</f>
        <v>108333.33333333333</v>
      </c>
      <c r="R1519" s="484"/>
      <c r="S1519" s="595"/>
      <c r="T1519" s="595"/>
      <c r="U1519" s="595"/>
    </row>
    <row r="1520" spans="2:23" s="485" customFormat="1" ht="12.95" hidden="1" customHeight="1">
      <c r="B1520" s="951"/>
      <c r="C1520" s="598"/>
      <c r="D1520" s="607"/>
      <c r="E1520" s="604" t="s">
        <v>126</v>
      </c>
      <c r="F1520" s="604"/>
      <c r="G1520" s="605" t="s">
        <v>66</v>
      </c>
      <c r="H1520" s="606">
        <v>6.3E-2</v>
      </c>
      <c r="I1520" s="512">
        <f>'UPH-TNG'!$I$23</f>
        <v>95000</v>
      </c>
      <c r="J1520" s="491">
        <f>ROUND(H1520*I1520,2)</f>
        <v>5985</v>
      </c>
      <c r="K1520" s="496"/>
      <c r="L1520" s="493">
        <v>1</v>
      </c>
      <c r="M1520" s="493" t="s">
        <v>422</v>
      </c>
      <c r="N1520" s="491">
        <f t="shared" si="94"/>
        <v>5985</v>
      </c>
      <c r="Q1520" s="595">
        <v>130000</v>
      </c>
      <c r="R1520" s="484"/>
      <c r="S1520" s="595"/>
      <c r="T1520" s="595"/>
      <c r="U1520" s="595"/>
    </row>
    <row r="1521" spans="2:21" s="485" customFormat="1" ht="12.95" hidden="1" customHeight="1">
      <c r="B1521" s="951"/>
      <c r="C1521" s="598"/>
      <c r="D1521" s="607"/>
      <c r="E1521" s="604" t="s">
        <v>71</v>
      </c>
      <c r="F1521" s="604"/>
      <c r="G1521" s="605" t="s">
        <v>66</v>
      </c>
      <c r="H1521" s="719">
        <v>6.3E-3</v>
      </c>
      <c r="I1521" s="512">
        <f>'UPH-TNG'!$I$18</f>
        <v>104000</v>
      </c>
      <c r="J1521" s="491">
        <f>ROUND(H1521*I1521,2)</f>
        <v>655.20000000000005</v>
      </c>
      <c r="K1521" s="496"/>
      <c r="L1521" s="493">
        <v>1</v>
      </c>
      <c r="M1521" s="493" t="s">
        <v>422</v>
      </c>
      <c r="N1521" s="491">
        <f t="shared" si="94"/>
        <v>655.20000000000005</v>
      </c>
      <c r="Q1521" s="595">
        <f>Q1520*Q1518</f>
        <v>3120000</v>
      </c>
      <c r="R1521" s="484"/>
      <c r="S1521" s="595"/>
      <c r="T1521" s="595"/>
      <c r="U1521" s="595"/>
    </row>
    <row r="1522" spans="2:21" s="485" customFormat="1" ht="12.95" hidden="1" customHeight="1">
      <c r="B1522" s="951"/>
      <c r="C1522" s="598"/>
      <c r="D1522" s="607"/>
      <c r="E1522" s="604" t="s">
        <v>65</v>
      </c>
      <c r="F1522" s="604"/>
      <c r="G1522" s="605" t="s">
        <v>66</v>
      </c>
      <c r="H1522" s="606">
        <v>2.5000000000000001E-3</v>
      </c>
      <c r="I1522" s="512">
        <f>'UPH-TNG'!$I$20</f>
        <v>98000</v>
      </c>
      <c r="J1522" s="491">
        <f>ROUND(H1522*I1522,2)</f>
        <v>245</v>
      </c>
      <c r="K1522" s="607"/>
      <c r="L1522" s="493">
        <v>1</v>
      </c>
      <c r="M1522" s="493" t="s">
        <v>422</v>
      </c>
      <c r="N1522" s="491">
        <f t="shared" si="94"/>
        <v>245</v>
      </c>
      <c r="Q1522" s="595"/>
      <c r="R1522" s="484"/>
      <c r="S1522" s="595"/>
      <c r="T1522" s="595"/>
      <c r="U1522" s="595"/>
    </row>
    <row r="1523" spans="2:21" s="485" customFormat="1" ht="12.95" hidden="1" customHeight="1">
      <c r="B1523" s="951"/>
      <c r="C1523" s="600"/>
      <c r="D1523" s="602"/>
      <c r="E1523" s="612"/>
      <c r="F1523" s="613"/>
      <c r="G1523" s="610"/>
      <c r="H1523" s="614"/>
      <c r="I1523" s="513"/>
      <c r="J1523" s="495"/>
      <c r="K1523" s="494">
        <f>SUM(J1519:J1522)</f>
        <v>8725.2000000000007</v>
      </c>
      <c r="L1523" s="493"/>
      <c r="M1523" s="494"/>
      <c r="N1523" s="491">
        <f t="shared" si="94"/>
        <v>0</v>
      </c>
      <c r="Q1523" s="595"/>
      <c r="R1523" s="484"/>
      <c r="S1523" s="595"/>
      <c r="T1523" s="595"/>
      <c r="U1523" s="595"/>
    </row>
    <row r="1524" spans="2:21" s="485" customFormat="1" ht="12.95" hidden="1" customHeight="1">
      <c r="B1524" s="951"/>
      <c r="C1524" s="598" t="s">
        <v>215</v>
      </c>
      <c r="D1524" s="603" t="s">
        <v>212</v>
      </c>
      <c r="E1524" s="615"/>
      <c r="F1524" s="615"/>
      <c r="G1524" s="605"/>
      <c r="H1524" s="616"/>
      <c r="I1524" s="617"/>
      <c r="J1524" s="491"/>
      <c r="K1524" s="492"/>
      <c r="L1524" s="493"/>
      <c r="M1524" s="494"/>
      <c r="N1524" s="491">
        <f t="shared" si="94"/>
        <v>0</v>
      </c>
      <c r="Q1524" s="595"/>
      <c r="R1524" s="484"/>
      <c r="S1524" s="595"/>
      <c r="T1524" s="595"/>
      <c r="U1524" s="595"/>
    </row>
    <row r="1525" spans="2:21" s="485" customFormat="1" ht="12.95" hidden="1" customHeight="1">
      <c r="B1525" s="951"/>
      <c r="C1525" s="600"/>
      <c r="D1525" s="602"/>
      <c r="E1525" s="612"/>
      <c r="F1525" s="613"/>
      <c r="G1525" s="610"/>
      <c r="H1525" s="614"/>
      <c r="I1525" s="618"/>
      <c r="J1525" s="495"/>
      <c r="K1525" s="494">
        <f>SUM(J1524:J1524)</f>
        <v>0</v>
      </c>
      <c r="L1525" s="493"/>
      <c r="M1525" s="494"/>
      <c r="N1525" s="491">
        <f t="shared" si="94"/>
        <v>0</v>
      </c>
      <c r="Q1525" s="595"/>
      <c r="R1525" s="484"/>
      <c r="S1525" s="595"/>
      <c r="T1525" s="595"/>
      <c r="U1525" s="595"/>
    </row>
    <row r="1526" spans="2:21" s="485" customFormat="1" ht="12.95" hidden="1" customHeight="1">
      <c r="B1526" s="951"/>
      <c r="C1526" s="605" t="s">
        <v>216</v>
      </c>
      <c r="D1526" s="619" t="s">
        <v>219</v>
      </c>
      <c r="E1526" s="613"/>
      <c r="F1526" s="613"/>
      <c r="G1526" s="610"/>
      <c r="H1526" s="614"/>
      <c r="I1526" s="618"/>
      <c r="J1526" s="497" t="s">
        <v>220</v>
      </c>
      <c r="K1526" s="494">
        <f>K1518+K1523+K1525</f>
        <v>50365.2</v>
      </c>
      <c r="L1526" s="620">
        <f>N1526/K1526</f>
        <v>0.444497391055729</v>
      </c>
      <c r="M1526" s="497"/>
      <c r="N1526" s="498">
        <f>SUM(N1515:N1525)</f>
        <v>22387.200000000001</v>
      </c>
      <c r="Q1526" s="595"/>
      <c r="R1526" s="484"/>
      <c r="S1526" s="595"/>
      <c r="T1526" s="595"/>
      <c r="U1526" s="595"/>
    </row>
    <row r="1527" spans="2:21" s="485" customFormat="1" ht="12.95" hidden="1" customHeight="1">
      <c r="B1527" s="951"/>
      <c r="C1527" s="600" t="s">
        <v>217</v>
      </c>
      <c r="D1527" s="619" t="s">
        <v>221</v>
      </c>
      <c r="E1527" s="613"/>
      <c r="F1527" s="499">
        <f>$F$48</f>
        <v>0.1</v>
      </c>
      <c r="G1527" s="605" t="s">
        <v>168</v>
      </c>
      <c r="H1527" s="499">
        <f>$H$48</f>
        <v>0.02</v>
      </c>
      <c r="I1527" s="621" t="s">
        <v>167</v>
      </c>
      <c r="J1527" s="494" t="s">
        <v>216</v>
      </c>
      <c r="K1527" s="500">
        <f>ROUND((K1526*(F1527+H1527)),2)</f>
        <v>6043.82</v>
      </c>
      <c r="L1527" s="494"/>
      <c r="M1527" s="494"/>
      <c r="N1527" s="494"/>
      <c r="Q1527" s="595"/>
      <c r="R1527" s="484"/>
      <c r="S1527" s="595"/>
      <c r="T1527" s="595"/>
      <c r="U1527" s="595"/>
    </row>
    <row r="1528" spans="2:21" s="485" customFormat="1" ht="12.95" hidden="1" customHeight="1">
      <c r="B1528" s="951"/>
      <c r="C1528" s="622" t="s">
        <v>222</v>
      </c>
      <c r="D1528" s="623" t="s">
        <v>76</v>
      </c>
      <c r="E1528" s="624"/>
      <c r="F1528" s="624"/>
      <c r="G1528" s="624"/>
      <c r="H1528" s="625"/>
      <c r="I1528" s="624"/>
      <c r="J1528" s="626" t="s">
        <v>226</v>
      </c>
      <c r="K1528" s="627">
        <f>SUM(K1526:K1527)</f>
        <v>56409.02</v>
      </c>
      <c r="L1528" s="620"/>
      <c r="M1528" s="626"/>
      <c r="N1528" s="635"/>
      <c r="Q1528" s="595"/>
      <c r="R1528" s="484"/>
      <c r="S1528" s="595"/>
      <c r="T1528" s="595"/>
      <c r="U1528" s="595"/>
    </row>
    <row r="1529" spans="2:21" hidden="1">
      <c r="Q1529" s="595"/>
      <c r="R1529" s="484"/>
      <c r="S1529" s="595"/>
      <c r="T1529" s="595"/>
      <c r="U1529" s="595"/>
    </row>
    <row r="1530" spans="2:21" s="485" customFormat="1" ht="12.95" hidden="1" customHeight="1">
      <c r="B1530" s="951">
        <f>B1510+1</f>
        <v>78</v>
      </c>
      <c r="C1530" s="488"/>
      <c r="D1530" s="485" t="s">
        <v>470</v>
      </c>
      <c r="H1530" s="488"/>
      <c r="K1530" s="591" t="s">
        <v>471</v>
      </c>
      <c r="L1530" s="591"/>
      <c r="M1530" s="591"/>
      <c r="N1530" s="591"/>
      <c r="O1530" s="485" t="str">
        <f>D1531</f>
        <v>m2</v>
      </c>
      <c r="P1530" s="636">
        <f>K1552</f>
        <v>68672.800000000003</v>
      </c>
      <c r="Q1530" s="593">
        <f>L1550</f>
        <v>0.47789922857375844</v>
      </c>
      <c r="R1530" s="484">
        <f>N1550</f>
        <v>29302.391199999998</v>
      </c>
      <c r="S1530" s="594"/>
      <c r="T1530" s="484"/>
      <c r="U1530" s="593"/>
    </row>
    <row r="1531" spans="2:21" s="485" customFormat="1" ht="12.95" hidden="1" customHeight="1">
      <c r="B1531" s="951"/>
      <c r="C1531" s="488"/>
      <c r="D1531" s="485" t="s">
        <v>100</v>
      </c>
      <c r="H1531" s="488"/>
      <c r="Q1531" s="595"/>
      <c r="R1531" s="484"/>
      <c r="S1531" s="595"/>
      <c r="T1531" s="595"/>
      <c r="U1531" s="595"/>
    </row>
    <row r="1532" spans="2:21" s="485" customFormat="1" ht="12.95" hidden="1" customHeight="1">
      <c r="B1532" s="951"/>
      <c r="C1532" s="596"/>
      <c r="D1532" s="977" t="s">
        <v>55</v>
      </c>
      <c r="E1532" s="978"/>
      <c r="F1532" s="597"/>
      <c r="G1532" s="981" t="s">
        <v>56</v>
      </c>
      <c r="H1532" s="981" t="s">
        <v>57</v>
      </c>
      <c r="I1532" s="596" t="s">
        <v>58</v>
      </c>
      <c r="J1532" s="596" t="s">
        <v>59</v>
      </c>
      <c r="K1532" s="596" t="s">
        <v>102</v>
      </c>
      <c r="L1532" s="596" t="s">
        <v>418</v>
      </c>
      <c r="M1532" s="596" t="s">
        <v>419</v>
      </c>
      <c r="N1532" s="596" t="s">
        <v>59</v>
      </c>
      <c r="Q1532" s="595"/>
      <c r="R1532" s="484"/>
      <c r="S1532" s="595"/>
      <c r="T1532" s="595"/>
      <c r="U1532" s="595"/>
    </row>
    <row r="1533" spans="2:21" s="485" customFormat="1" ht="12.95" hidden="1" customHeight="1">
      <c r="B1533" s="951"/>
      <c r="C1533" s="598" t="s">
        <v>227</v>
      </c>
      <c r="D1533" s="979"/>
      <c r="E1533" s="980"/>
      <c r="F1533" s="599"/>
      <c r="G1533" s="982"/>
      <c r="H1533" s="982"/>
      <c r="I1533" s="598" t="s">
        <v>60</v>
      </c>
      <c r="J1533" s="598" t="s">
        <v>61</v>
      </c>
      <c r="K1533" s="598" t="s">
        <v>61</v>
      </c>
      <c r="L1533" s="598" t="s">
        <v>421</v>
      </c>
      <c r="M1533" s="598"/>
      <c r="N1533" s="598" t="s">
        <v>423</v>
      </c>
      <c r="Q1533" s="595"/>
      <c r="R1533" s="484"/>
      <c r="S1533" s="595"/>
      <c r="T1533" s="595"/>
      <c r="U1533" s="595"/>
    </row>
    <row r="1534" spans="2:21" s="485" customFormat="1" ht="12.95" hidden="1" customHeight="1">
      <c r="B1534" s="951"/>
      <c r="C1534" s="600"/>
      <c r="D1534" s="969"/>
      <c r="E1534" s="970"/>
      <c r="F1534" s="601"/>
      <c r="G1534" s="973"/>
      <c r="H1534" s="973"/>
      <c r="I1534" s="600" t="s">
        <v>61</v>
      </c>
      <c r="J1534" s="602"/>
      <c r="K1534" s="602"/>
      <c r="L1534" s="602"/>
      <c r="M1534" s="602"/>
      <c r="N1534" s="600" t="s">
        <v>61</v>
      </c>
      <c r="Q1534" s="595"/>
      <c r="R1534" s="484"/>
      <c r="S1534" s="595"/>
      <c r="T1534" s="595"/>
      <c r="U1534" s="595"/>
    </row>
    <row r="1535" spans="2:21" s="505" customFormat="1" ht="14.1" hidden="1" customHeight="1">
      <c r="B1535" s="951"/>
      <c r="C1535" s="596" t="s">
        <v>213</v>
      </c>
      <c r="D1535" s="603" t="s">
        <v>62</v>
      </c>
      <c r="E1535" s="710" t="s">
        <v>472</v>
      </c>
      <c r="F1535" s="710"/>
      <c r="G1535" s="605" t="s">
        <v>73</v>
      </c>
      <c r="H1535" s="711">
        <v>0.2</v>
      </c>
      <c r="I1535" s="491">
        <f>'UPH-TNG'!I52</f>
        <v>29100</v>
      </c>
      <c r="J1535" s="491">
        <f>ROUND(H1535*I1535,2)</f>
        <v>5820</v>
      </c>
      <c r="K1535" s="492"/>
      <c r="L1535" s="501">
        <v>0</v>
      </c>
      <c r="M1535" s="494"/>
      <c r="N1535" s="491">
        <f t="shared" ref="N1535:N1549" si="95">L1535*J1535</f>
        <v>0</v>
      </c>
      <c r="O1535" s="631"/>
      <c r="Q1535" s="595"/>
      <c r="R1535" s="484"/>
      <c r="S1535" s="595"/>
      <c r="T1535" s="595"/>
      <c r="U1535" s="595"/>
    </row>
    <row r="1536" spans="2:21" s="485" customFormat="1" ht="12.95" hidden="1" customHeight="1">
      <c r="B1536" s="951"/>
      <c r="C1536" s="598"/>
      <c r="D1536" s="607"/>
      <c r="E1536" s="615" t="s">
        <v>133</v>
      </c>
      <c r="F1536" s="615"/>
      <c r="G1536" s="605" t="s">
        <v>73</v>
      </c>
      <c r="H1536" s="711">
        <v>0.15</v>
      </c>
      <c r="I1536" s="512">
        <f>'UPH-TNG'!I121</f>
        <v>20400</v>
      </c>
      <c r="J1536" s="491">
        <f>ROUND(H1536*I1536,2)</f>
        <v>3060</v>
      </c>
      <c r="K1536" s="492"/>
      <c r="L1536" s="501">
        <v>0</v>
      </c>
      <c r="M1536" s="494"/>
      <c r="N1536" s="491">
        <f t="shared" si="95"/>
        <v>0</v>
      </c>
      <c r="P1536" s="636">
        <f>I1536*20</f>
        <v>408000</v>
      </c>
      <c r="Q1536" s="595"/>
      <c r="R1536" s="484"/>
      <c r="S1536" s="595"/>
      <c r="T1536" s="595"/>
      <c r="U1536" s="595"/>
    </row>
    <row r="1537" spans="2:21" s="485" customFormat="1" ht="12.95" hidden="1" customHeight="1">
      <c r="B1537" s="951"/>
      <c r="C1537" s="670"/>
      <c r="D1537" s="666"/>
      <c r="E1537" s="720" t="s">
        <v>473</v>
      </c>
      <c r="F1537" s="672"/>
      <c r="G1537" s="673" t="s">
        <v>73</v>
      </c>
      <c r="H1537" s="721">
        <v>0.17</v>
      </c>
      <c r="I1537" s="512">
        <f>'UPH-TNG'!$I$51</f>
        <v>64300</v>
      </c>
      <c r="J1537" s="491">
        <f t="shared" ref="J1537:J1541" si="96">ROUND(H1537*I1537,2)</f>
        <v>10931</v>
      </c>
      <c r="K1537" s="492"/>
      <c r="L1537" s="501">
        <v>0.36420000000000002</v>
      </c>
      <c r="M1537" s="494" t="s">
        <v>429</v>
      </c>
      <c r="N1537" s="491">
        <f t="shared" ref="N1537:N1541" si="97">L1537*J1537</f>
        <v>3981.0702000000001</v>
      </c>
      <c r="P1537" s="636"/>
      <c r="Q1537" s="595"/>
      <c r="R1537" s="484"/>
      <c r="S1537" s="595"/>
      <c r="T1537" s="595"/>
      <c r="U1537" s="595"/>
    </row>
    <row r="1538" spans="2:21" s="485" customFormat="1" ht="12.95" hidden="1" customHeight="1">
      <c r="B1538" s="951"/>
      <c r="C1538" s="670"/>
      <c r="D1538" s="666"/>
      <c r="E1538" s="720" t="s">
        <v>474</v>
      </c>
      <c r="F1538" s="672"/>
      <c r="G1538" s="673" t="s">
        <v>73</v>
      </c>
      <c r="H1538" s="721">
        <v>0.35</v>
      </c>
      <c r="I1538" s="512">
        <f>'UPH-TNG'!$I$51</f>
        <v>64300</v>
      </c>
      <c r="J1538" s="491">
        <f t="shared" si="96"/>
        <v>22505</v>
      </c>
      <c r="K1538" s="492"/>
      <c r="L1538" s="501">
        <f>L1537</f>
        <v>0.36420000000000002</v>
      </c>
      <c r="M1538" s="494" t="s">
        <v>429</v>
      </c>
      <c r="N1538" s="491">
        <f t="shared" si="97"/>
        <v>8196.3209999999999</v>
      </c>
      <c r="P1538" s="636"/>
      <c r="Q1538" s="595"/>
      <c r="R1538" s="484"/>
      <c r="S1538" s="595"/>
      <c r="T1538" s="595"/>
      <c r="U1538" s="595"/>
    </row>
    <row r="1539" spans="2:21" s="485" customFormat="1" ht="12.95" hidden="1" customHeight="1">
      <c r="B1539" s="951"/>
      <c r="C1539" s="670"/>
      <c r="D1539" s="666"/>
      <c r="E1539" s="720" t="s">
        <v>475</v>
      </c>
      <c r="F1539" s="672"/>
      <c r="G1539" s="673" t="s">
        <v>45</v>
      </c>
      <c r="H1539" s="721">
        <v>0.01</v>
      </c>
      <c r="I1539" s="512">
        <f>'UPH-TNG'!I86</f>
        <v>21500</v>
      </c>
      <c r="J1539" s="491">
        <f t="shared" si="96"/>
        <v>215</v>
      </c>
      <c r="K1539" s="492"/>
      <c r="L1539" s="501">
        <v>0</v>
      </c>
      <c r="M1539" s="494"/>
      <c r="N1539" s="491">
        <f t="shared" si="97"/>
        <v>0</v>
      </c>
      <c r="P1539" s="636"/>
      <c r="Q1539" s="595"/>
      <c r="R1539" s="484"/>
      <c r="S1539" s="595"/>
      <c r="T1539" s="595"/>
      <c r="U1539" s="595"/>
    </row>
    <row r="1540" spans="2:21" s="485" customFormat="1" ht="12.95" hidden="1" customHeight="1">
      <c r="B1540" s="951"/>
      <c r="C1540" s="670"/>
      <c r="D1540" s="666"/>
      <c r="E1540" s="720" t="s">
        <v>476</v>
      </c>
      <c r="F1540" s="672"/>
      <c r="G1540" s="673" t="s">
        <v>73</v>
      </c>
      <c r="H1540" s="721">
        <v>0.03</v>
      </c>
      <c r="I1540" s="512">
        <f>'UPH-TNG'!I97</f>
        <v>17300</v>
      </c>
      <c r="J1540" s="491">
        <f t="shared" si="96"/>
        <v>519</v>
      </c>
      <c r="K1540" s="492"/>
      <c r="L1540" s="501">
        <v>0</v>
      </c>
      <c r="M1540" s="494"/>
      <c r="N1540" s="491">
        <f t="shared" si="97"/>
        <v>0</v>
      </c>
      <c r="P1540" s="636"/>
      <c r="Q1540" s="595"/>
      <c r="R1540" s="484"/>
      <c r="S1540" s="595"/>
      <c r="T1540" s="595"/>
      <c r="U1540" s="595"/>
    </row>
    <row r="1541" spans="2:21" s="485" customFormat="1" ht="12.95" hidden="1" customHeight="1">
      <c r="B1541" s="951"/>
      <c r="C1541" s="670"/>
      <c r="D1541" s="666"/>
      <c r="E1541" s="720" t="s">
        <v>477</v>
      </c>
      <c r="F1541" s="672"/>
      <c r="G1541" s="673" t="s">
        <v>73</v>
      </c>
      <c r="H1541" s="721">
        <v>0.2</v>
      </c>
      <c r="I1541" s="512">
        <f>'UPH-TNG'!I39</f>
        <v>5700</v>
      </c>
      <c r="J1541" s="491">
        <f t="shared" si="96"/>
        <v>1140</v>
      </c>
      <c r="K1541" s="492"/>
      <c r="L1541" s="501">
        <v>0</v>
      </c>
      <c r="M1541" s="494"/>
      <c r="N1541" s="491">
        <f t="shared" si="97"/>
        <v>0</v>
      </c>
      <c r="P1541" s="636"/>
      <c r="Q1541" s="595"/>
      <c r="R1541" s="484"/>
      <c r="S1541" s="595"/>
      <c r="T1541" s="595"/>
      <c r="U1541" s="595"/>
    </row>
    <row r="1542" spans="2:21" s="485" customFormat="1" ht="12.95" hidden="1" customHeight="1">
      <c r="B1542" s="951"/>
      <c r="C1542" s="600"/>
      <c r="D1542" s="607"/>
      <c r="E1542" s="612"/>
      <c r="F1542" s="613"/>
      <c r="G1542" s="610"/>
      <c r="H1542" s="614"/>
      <c r="I1542" s="513"/>
      <c r="J1542" s="495"/>
      <c r="K1542" s="491">
        <f>SUM(J1535:J1541)</f>
        <v>44190</v>
      </c>
      <c r="L1542" s="493"/>
      <c r="M1542" s="494"/>
      <c r="N1542" s="491">
        <f t="shared" si="95"/>
        <v>0</v>
      </c>
      <c r="P1542" s="636" t="e">
        <f>#REF!*#REF!</f>
        <v>#REF!</v>
      </c>
      <c r="Q1542" s="595"/>
      <c r="R1542" s="484"/>
      <c r="S1542" s="595"/>
      <c r="T1542" s="595"/>
      <c r="U1542" s="595"/>
    </row>
    <row r="1543" spans="2:21" s="485" customFormat="1" ht="12.95" hidden="1" customHeight="1">
      <c r="B1543" s="951"/>
      <c r="C1543" s="596" t="s">
        <v>214</v>
      </c>
      <c r="D1543" s="603" t="s">
        <v>63</v>
      </c>
      <c r="E1543" s="604" t="s">
        <v>64</v>
      </c>
      <c r="F1543" s="604"/>
      <c r="G1543" s="605" t="s">
        <v>66</v>
      </c>
      <c r="H1543" s="606">
        <v>7.0000000000000007E-2</v>
      </c>
      <c r="I1543" s="512">
        <f>'UPH-TNG'!$I$15</f>
        <v>92000</v>
      </c>
      <c r="J1543" s="491">
        <f>ROUND(H1543*I1543,2)</f>
        <v>6440</v>
      </c>
      <c r="K1543" s="492"/>
      <c r="L1543" s="493">
        <v>1</v>
      </c>
      <c r="M1543" s="493" t="s">
        <v>422</v>
      </c>
      <c r="N1543" s="491">
        <f t="shared" si="95"/>
        <v>6440</v>
      </c>
      <c r="Q1543" s="595"/>
      <c r="R1543" s="484"/>
      <c r="S1543" s="595"/>
      <c r="T1543" s="595"/>
      <c r="U1543" s="595"/>
    </row>
    <row r="1544" spans="2:21" s="485" customFormat="1" ht="12.95" hidden="1" customHeight="1">
      <c r="B1544" s="951"/>
      <c r="C1544" s="598"/>
      <c r="D1544" s="607"/>
      <c r="E1544" s="604" t="s">
        <v>126</v>
      </c>
      <c r="F1544" s="604"/>
      <c r="G1544" s="605" t="s">
        <v>66</v>
      </c>
      <c r="H1544" s="606">
        <v>0.105</v>
      </c>
      <c r="I1544" s="512">
        <f>'UPH-TNG'!$I$23</f>
        <v>95000</v>
      </c>
      <c r="J1544" s="491">
        <f>ROUND(H1544*I1544,2)</f>
        <v>9975</v>
      </c>
      <c r="K1544" s="496"/>
      <c r="L1544" s="493">
        <v>1</v>
      </c>
      <c r="M1544" s="493" t="s">
        <v>422</v>
      </c>
      <c r="N1544" s="491">
        <f t="shared" si="95"/>
        <v>9975</v>
      </c>
      <c r="Q1544" s="595"/>
      <c r="R1544" s="484"/>
      <c r="S1544" s="595"/>
      <c r="T1544" s="595"/>
      <c r="U1544" s="595"/>
    </row>
    <row r="1545" spans="2:21" s="485" customFormat="1" ht="12.95" hidden="1" customHeight="1">
      <c r="B1545" s="951"/>
      <c r="C1545" s="598"/>
      <c r="D1545" s="607"/>
      <c r="E1545" s="604" t="s">
        <v>71</v>
      </c>
      <c r="F1545" s="604"/>
      <c r="G1545" s="605" t="s">
        <v>66</v>
      </c>
      <c r="H1545" s="719">
        <v>4.0000000000000001E-3</v>
      </c>
      <c r="I1545" s="512">
        <f>'UPH-TNG'!$I$18</f>
        <v>104000</v>
      </c>
      <c r="J1545" s="491">
        <f>ROUND(H1545*I1545,2)</f>
        <v>416</v>
      </c>
      <c r="K1545" s="496"/>
      <c r="L1545" s="493">
        <v>1</v>
      </c>
      <c r="M1545" s="493" t="s">
        <v>422</v>
      </c>
      <c r="N1545" s="491">
        <f t="shared" si="95"/>
        <v>416</v>
      </c>
      <c r="Q1545" s="595"/>
      <c r="R1545" s="484"/>
      <c r="S1545" s="595"/>
      <c r="T1545" s="595"/>
      <c r="U1545" s="595"/>
    </row>
    <row r="1546" spans="2:21" s="485" customFormat="1" ht="12.95" hidden="1" customHeight="1">
      <c r="B1546" s="951"/>
      <c r="C1546" s="598"/>
      <c r="D1546" s="607"/>
      <c r="E1546" s="604" t="s">
        <v>65</v>
      </c>
      <c r="F1546" s="604"/>
      <c r="G1546" s="605" t="s">
        <v>66</v>
      </c>
      <c r="H1546" s="606">
        <v>3.0000000000000001E-3</v>
      </c>
      <c r="I1546" s="512">
        <f>'UPH-TNG'!$I$20</f>
        <v>98000</v>
      </c>
      <c r="J1546" s="491">
        <f>ROUND(H1546*I1546,2)</f>
        <v>294</v>
      </c>
      <c r="K1546" s="607"/>
      <c r="L1546" s="493">
        <v>1</v>
      </c>
      <c r="M1546" s="493" t="s">
        <v>422</v>
      </c>
      <c r="N1546" s="491">
        <f t="shared" si="95"/>
        <v>294</v>
      </c>
      <c r="Q1546" s="595"/>
      <c r="R1546" s="484"/>
      <c r="S1546" s="595"/>
      <c r="T1546" s="595"/>
      <c r="U1546" s="595"/>
    </row>
    <row r="1547" spans="2:21" s="485" customFormat="1" ht="12.95" hidden="1" customHeight="1">
      <c r="B1547" s="951"/>
      <c r="C1547" s="600"/>
      <c r="D1547" s="602"/>
      <c r="E1547" s="612"/>
      <c r="F1547" s="613"/>
      <c r="G1547" s="610"/>
      <c r="H1547" s="614"/>
      <c r="I1547" s="513"/>
      <c r="J1547" s="495"/>
      <c r="K1547" s="494">
        <f>SUM(J1543:J1546)</f>
        <v>17125</v>
      </c>
      <c r="L1547" s="493"/>
      <c r="M1547" s="494"/>
      <c r="N1547" s="491">
        <f t="shared" si="95"/>
        <v>0</v>
      </c>
      <c r="Q1547" s="595"/>
      <c r="R1547" s="484"/>
      <c r="S1547" s="595"/>
      <c r="T1547" s="595"/>
      <c r="U1547" s="595"/>
    </row>
    <row r="1548" spans="2:21" s="485" customFormat="1" ht="12.95" hidden="1" customHeight="1">
      <c r="B1548" s="951"/>
      <c r="C1548" s="598" t="s">
        <v>215</v>
      </c>
      <c r="D1548" s="603" t="s">
        <v>212</v>
      </c>
      <c r="E1548" s="615"/>
      <c r="F1548" s="615"/>
      <c r="G1548" s="605"/>
      <c r="H1548" s="616"/>
      <c r="I1548" s="617"/>
      <c r="J1548" s="491"/>
      <c r="K1548" s="492"/>
      <c r="L1548" s="493"/>
      <c r="M1548" s="494"/>
      <c r="N1548" s="491">
        <f t="shared" si="95"/>
        <v>0</v>
      </c>
      <c r="Q1548" s="595"/>
      <c r="R1548" s="484"/>
      <c r="S1548" s="595"/>
      <c r="T1548" s="595"/>
      <c r="U1548" s="595"/>
    </row>
    <row r="1549" spans="2:21" s="485" customFormat="1" ht="12.95" hidden="1" customHeight="1">
      <c r="B1549" s="951"/>
      <c r="C1549" s="600"/>
      <c r="D1549" s="602"/>
      <c r="E1549" s="612"/>
      <c r="F1549" s="613"/>
      <c r="G1549" s="610"/>
      <c r="H1549" s="614"/>
      <c r="I1549" s="618"/>
      <c r="J1549" s="495"/>
      <c r="K1549" s="494">
        <f>SUM(J1548:J1548)</f>
        <v>0</v>
      </c>
      <c r="L1549" s="493"/>
      <c r="M1549" s="494"/>
      <c r="N1549" s="491">
        <f t="shared" si="95"/>
        <v>0</v>
      </c>
      <c r="Q1549" s="595"/>
      <c r="R1549" s="484"/>
      <c r="S1549" s="595"/>
      <c r="T1549" s="595"/>
      <c r="U1549" s="595"/>
    </row>
    <row r="1550" spans="2:21" s="485" customFormat="1" ht="12.95" hidden="1" customHeight="1">
      <c r="B1550" s="951"/>
      <c r="C1550" s="605" t="s">
        <v>216</v>
      </c>
      <c r="D1550" s="619" t="s">
        <v>219</v>
      </c>
      <c r="E1550" s="613"/>
      <c r="F1550" s="613"/>
      <c r="G1550" s="610"/>
      <c r="H1550" s="614"/>
      <c r="I1550" s="618"/>
      <c r="J1550" s="497" t="s">
        <v>220</v>
      </c>
      <c r="K1550" s="494">
        <f>K1542+K1547+K1549</f>
        <v>61315</v>
      </c>
      <c r="L1550" s="620">
        <f>N1550/K1550</f>
        <v>0.47789922857375844</v>
      </c>
      <c r="M1550" s="497"/>
      <c r="N1550" s="498">
        <f>SUM(N1535:N1549)</f>
        <v>29302.391199999998</v>
      </c>
      <c r="Q1550" s="595"/>
      <c r="R1550" s="484"/>
      <c r="S1550" s="595"/>
      <c r="T1550" s="595"/>
      <c r="U1550" s="595"/>
    </row>
    <row r="1551" spans="2:21" s="485" customFormat="1" ht="12.95" hidden="1" customHeight="1">
      <c r="B1551" s="951"/>
      <c r="C1551" s="600" t="s">
        <v>217</v>
      </c>
      <c r="D1551" s="619" t="s">
        <v>221</v>
      </c>
      <c r="E1551" s="613"/>
      <c r="F1551" s="499">
        <f>$F$48</f>
        <v>0.1</v>
      </c>
      <c r="G1551" s="605" t="s">
        <v>168</v>
      </c>
      <c r="H1551" s="499">
        <f>$H$48</f>
        <v>0.02</v>
      </c>
      <c r="I1551" s="621" t="s">
        <v>167</v>
      </c>
      <c r="J1551" s="494" t="s">
        <v>216</v>
      </c>
      <c r="K1551" s="500">
        <f>ROUND((K1550*(F1551+H1551)),2)</f>
        <v>7357.8</v>
      </c>
      <c r="L1551" s="494"/>
      <c r="M1551" s="494"/>
      <c r="N1551" s="494"/>
      <c r="Q1551" s="595"/>
      <c r="R1551" s="484"/>
      <c r="S1551" s="595"/>
      <c r="T1551" s="595"/>
      <c r="U1551" s="595"/>
    </row>
    <row r="1552" spans="2:21" s="485" customFormat="1" ht="12.95" hidden="1" customHeight="1">
      <c r="B1552" s="951"/>
      <c r="C1552" s="622" t="s">
        <v>222</v>
      </c>
      <c r="D1552" s="623" t="s">
        <v>76</v>
      </c>
      <c r="E1552" s="624"/>
      <c r="F1552" s="624"/>
      <c r="G1552" s="624"/>
      <c r="H1552" s="625"/>
      <c r="I1552" s="624"/>
      <c r="J1552" s="626" t="s">
        <v>226</v>
      </c>
      <c r="K1552" s="627">
        <f>SUM(K1550:K1551)</f>
        <v>68672.800000000003</v>
      </c>
      <c r="L1552" s="620"/>
      <c r="M1552" s="626"/>
      <c r="N1552" s="635"/>
      <c r="Q1552" s="595"/>
      <c r="R1552" s="484"/>
      <c r="S1552" s="595"/>
      <c r="T1552" s="595"/>
      <c r="U1552" s="595"/>
    </row>
    <row r="1553" spans="2:21" hidden="1">
      <c r="Q1553" s="595"/>
      <c r="R1553" s="484"/>
      <c r="S1553" s="595"/>
      <c r="T1553" s="595"/>
      <c r="U1553" s="595"/>
    </row>
    <row r="1554" spans="2:21" s="298" customFormat="1" ht="14.1" hidden="1" customHeight="1">
      <c r="B1554" s="951">
        <f>B1530+1</f>
        <v>79</v>
      </c>
      <c r="C1554" s="488"/>
      <c r="D1554" s="590" t="s">
        <v>500</v>
      </c>
      <c r="E1554" s="485"/>
      <c r="F1554" s="485"/>
      <c r="G1554" s="485"/>
      <c r="H1554" s="488"/>
      <c r="I1554" s="485"/>
      <c r="J1554" s="485"/>
      <c r="K1554" s="591" t="s">
        <v>239</v>
      </c>
      <c r="L1554" s="591"/>
      <c r="M1554" s="591"/>
      <c r="N1554" s="591"/>
      <c r="O1554" s="302" t="str">
        <f>D1555</f>
        <v>m'</v>
      </c>
      <c r="P1554" s="592">
        <f>K1572</f>
        <v>49952</v>
      </c>
      <c r="Q1554" s="593">
        <f>L1570</f>
        <v>0.95930493273542605</v>
      </c>
      <c r="R1554" s="484">
        <f>N1570</f>
        <v>42785</v>
      </c>
      <c r="S1554" s="594"/>
      <c r="T1554" s="484"/>
      <c r="U1554" s="593"/>
    </row>
    <row r="1555" spans="2:21" s="298" customFormat="1" ht="14.1" hidden="1" customHeight="1">
      <c r="B1555" s="951"/>
      <c r="C1555" s="488"/>
      <c r="D1555" s="485" t="s">
        <v>32</v>
      </c>
      <c r="E1555" s="485"/>
      <c r="F1555" s="485"/>
      <c r="G1555" s="485"/>
      <c r="H1555" s="488"/>
      <c r="I1555" s="485"/>
      <c r="J1555" s="485"/>
      <c r="K1555" s="485"/>
      <c r="L1555" s="485"/>
      <c r="M1555" s="485"/>
      <c r="N1555" s="485"/>
      <c r="O1555" s="302"/>
      <c r="Q1555" s="595"/>
      <c r="R1555" s="484"/>
      <c r="S1555" s="595"/>
      <c r="T1555" s="595"/>
      <c r="U1555" s="595"/>
    </row>
    <row r="1556" spans="2:21" s="298" customFormat="1" ht="14.1" hidden="1" customHeight="1">
      <c r="B1556" s="951"/>
      <c r="C1556" s="683"/>
      <c r="D1556" s="965" t="s">
        <v>55</v>
      </c>
      <c r="E1556" s="966"/>
      <c r="F1556" s="684"/>
      <c r="G1556" s="971" t="s">
        <v>56</v>
      </c>
      <c r="H1556" s="971" t="s">
        <v>57</v>
      </c>
      <c r="I1556" s="683" t="s">
        <v>58</v>
      </c>
      <c r="J1556" s="683" t="s">
        <v>59</v>
      </c>
      <c r="K1556" s="683" t="s">
        <v>102</v>
      </c>
      <c r="L1556" s="596" t="s">
        <v>418</v>
      </c>
      <c r="M1556" s="596" t="s">
        <v>419</v>
      </c>
      <c r="N1556" s="596" t="s">
        <v>59</v>
      </c>
      <c r="O1556" s="302"/>
      <c r="Q1556" s="595"/>
      <c r="R1556" s="484"/>
      <c r="S1556" s="595"/>
      <c r="T1556" s="595"/>
      <c r="U1556" s="595"/>
    </row>
    <row r="1557" spans="2:21" s="298" customFormat="1" ht="14.1" hidden="1" customHeight="1">
      <c r="B1557" s="951"/>
      <c r="C1557" s="655" t="s">
        <v>227</v>
      </c>
      <c r="D1557" s="967"/>
      <c r="E1557" s="968"/>
      <c r="F1557" s="654"/>
      <c r="G1557" s="972"/>
      <c r="H1557" s="972"/>
      <c r="I1557" s="655" t="s">
        <v>60</v>
      </c>
      <c r="J1557" s="655" t="s">
        <v>61</v>
      </c>
      <c r="K1557" s="655" t="s">
        <v>61</v>
      </c>
      <c r="L1557" s="598" t="s">
        <v>421</v>
      </c>
      <c r="M1557" s="598"/>
      <c r="N1557" s="598" t="s">
        <v>423</v>
      </c>
      <c r="O1557" s="302"/>
      <c r="Q1557" s="595"/>
      <c r="R1557" s="484"/>
      <c r="S1557" s="595"/>
      <c r="T1557" s="595"/>
      <c r="U1557" s="595"/>
    </row>
    <row r="1558" spans="2:21" s="298" customFormat="1" ht="14.1" hidden="1" customHeight="1">
      <c r="B1558" s="951"/>
      <c r="C1558" s="600"/>
      <c r="D1558" s="969"/>
      <c r="E1558" s="970"/>
      <c r="F1558" s="601"/>
      <c r="G1558" s="973"/>
      <c r="H1558" s="973"/>
      <c r="I1558" s="600" t="s">
        <v>61</v>
      </c>
      <c r="J1558" s="602"/>
      <c r="K1558" s="602"/>
      <c r="L1558" s="602"/>
      <c r="M1558" s="602"/>
      <c r="N1558" s="600" t="s">
        <v>61</v>
      </c>
      <c r="O1558" s="302"/>
      <c r="Q1558" s="595"/>
      <c r="R1558" s="484"/>
      <c r="S1558" s="595"/>
      <c r="T1558" s="595"/>
      <c r="U1558" s="595"/>
    </row>
    <row r="1559" spans="2:21" s="298" customFormat="1" ht="14.1" hidden="1" customHeight="1">
      <c r="B1559" s="951"/>
      <c r="C1559" s="683" t="s">
        <v>213</v>
      </c>
      <c r="D1559" s="694" t="s">
        <v>62</v>
      </c>
      <c r="E1559" s="722" t="s">
        <v>501</v>
      </c>
      <c r="F1559" s="722"/>
      <c r="G1559" s="698" t="s">
        <v>32</v>
      </c>
      <c r="H1559" s="723">
        <v>1</v>
      </c>
      <c r="I1559" s="522">
        <f>'UPH-TNG'!I68</f>
        <v>10000</v>
      </c>
      <c r="J1559" s="522">
        <f>ROUND(H1559*I1559,2)</f>
        <v>10000</v>
      </c>
      <c r="K1559" s="523"/>
      <c r="L1559" s="501">
        <v>0.85599999999999998</v>
      </c>
      <c r="M1559" s="494" t="s">
        <v>429</v>
      </c>
      <c r="N1559" s="491">
        <f t="shared" ref="N1559:N1569" si="98">L1559*J1559</f>
        <v>8560</v>
      </c>
      <c r="O1559" s="302"/>
      <c r="Q1559" s="595"/>
      <c r="R1559" s="484"/>
      <c r="S1559" s="595"/>
      <c r="T1559" s="595"/>
      <c r="U1559" s="595"/>
    </row>
    <row r="1560" spans="2:21" s="298" customFormat="1" ht="14.1" hidden="1" customHeight="1">
      <c r="B1560" s="951"/>
      <c r="C1560" s="685"/>
      <c r="D1560" s="685"/>
      <c r="E1560" s="722" t="s">
        <v>410</v>
      </c>
      <c r="F1560" s="722"/>
      <c r="G1560" s="698" t="s">
        <v>49</v>
      </c>
      <c r="H1560" s="723">
        <v>1</v>
      </c>
      <c r="I1560" s="522">
        <f>I1559*15%</f>
        <v>1500</v>
      </c>
      <c r="J1560" s="522">
        <f>ROUND(H1560*I1560,2)</f>
        <v>1500</v>
      </c>
      <c r="K1560" s="524"/>
      <c r="L1560" s="501">
        <v>0.75</v>
      </c>
      <c r="M1560" s="494" t="s">
        <v>430</v>
      </c>
      <c r="N1560" s="491">
        <f t="shared" si="98"/>
        <v>1125</v>
      </c>
      <c r="O1560" s="302"/>
      <c r="Q1560" s="595"/>
      <c r="R1560" s="484"/>
      <c r="S1560" s="595"/>
      <c r="T1560" s="595"/>
      <c r="U1560" s="595"/>
    </row>
    <row r="1561" spans="2:21" s="298" customFormat="1" ht="14.1" hidden="1" customHeight="1">
      <c r="B1561" s="951"/>
      <c r="C1561" s="655"/>
      <c r="D1561" s="685"/>
      <c r="E1561" s="724"/>
      <c r="F1561" s="725"/>
      <c r="G1561" s="696"/>
      <c r="H1561" s="726"/>
      <c r="I1561" s="533"/>
      <c r="J1561" s="527"/>
      <c r="K1561" s="522">
        <f>SUM(J1559:J1560)</f>
        <v>11500</v>
      </c>
      <c r="L1561" s="493"/>
      <c r="M1561" s="494"/>
      <c r="N1561" s="491">
        <f t="shared" si="98"/>
        <v>0</v>
      </c>
      <c r="O1561" s="302"/>
      <c r="Q1561" s="595"/>
      <c r="R1561" s="484"/>
      <c r="S1561" s="595"/>
      <c r="T1561" s="595"/>
      <c r="U1561" s="595"/>
    </row>
    <row r="1562" spans="2:21" s="298" customFormat="1" ht="14.1" hidden="1" customHeight="1">
      <c r="B1562" s="951"/>
      <c r="C1562" s="683" t="s">
        <v>214</v>
      </c>
      <c r="D1562" s="694" t="s">
        <v>63</v>
      </c>
      <c r="E1562" s="722" t="s">
        <v>64</v>
      </c>
      <c r="F1562" s="722"/>
      <c r="G1562" s="698" t="s">
        <v>66</v>
      </c>
      <c r="H1562" s="723">
        <v>0.1</v>
      </c>
      <c r="I1562" s="617">
        <f>'UPH-TNG'!$I$15</f>
        <v>92000</v>
      </c>
      <c r="J1562" s="522">
        <f>ROUND(H1562*I1562,2)</f>
        <v>9200</v>
      </c>
      <c r="K1562" s="523"/>
      <c r="L1562" s="493">
        <v>1</v>
      </c>
      <c r="M1562" s="493" t="s">
        <v>422</v>
      </c>
      <c r="N1562" s="491">
        <f t="shared" si="98"/>
        <v>9200</v>
      </c>
      <c r="O1562" s="302"/>
      <c r="Q1562" s="595"/>
      <c r="R1562" s="484"/>
      <c r="S1562" s="595"/>
      <c r="T1562" s="595"/>
      <c r="U1562" s="595"/>
    </row>
    <row r="1563" spans="2:21" s="298" customFormat="1" ht="14.1" hidden="1" customHeight="1">
      <c r="B1563" s="951"/>
      <c r="C1563" s="685"/>
      <c r="D1563" s="685"/>
      <c r="E1563" s="722" t="s">
        <v>5</v>
      </c>
      <c r="F1563" s="722"/>
      <c r="G1563" s="698" t="s">
        <v>66</v>
      </c>
      <c r="H1563" s="723">
        <v>0.2</v>
      </c>
      <c r="I1563" s="522">
        <f>'UPH-TNG'!$I$26</f>
        <v>95000</v>
      </c>
      <c r="J1563" s="522">
        <f>ROUND(H1563*I1563,2)</f>
        <v>19000</v>
      </c>
      <c r="K1563" s="524"/>
      <c r="L1563" s="493">
        <v>1</v>
      </c>
      <c r="M1563" s="493" t="s">
        <v>422</v>
      </c>
      <c r="N1563" s="491">
        <f t="shared" si="98"/>
        <v>19000</v>
      </c>
      <c r="O1563" s="302"/>
      <c r="Q1563" s="595"/>
      <c r="R1563" s="484"/>
      <c r="S1563" s="595"/>
      <c r="T1563" s="595"/>
      <c r="U1563" s="595"/>
    </row>
    <row r="1564" spans="2:21" s="298" customFormat="1" ht="14.1" hidden="1" customHeight="1">
      <c r="B1564" s="951"/>
      <c r="C1564" s="685"/>
      <c r="D1564" s="685"/>
      <c r="E1564" s="722" t="s">
        <v>65</v>
      </c>
      <c r="F1564" s="722"/>
      <c r="G1564" s="698" t="s">
        <v>66</v>
      </c>
      <c r="H1564" s="723">
        <v>0.05</v>
      </c>
      <c r="I1564" s="617">
        <f>'UPH-TNG'!$I$20</f>
        <v>98000</v>
      </c>
      <c r="J1564" s="522">
        <f>ROUND(H1564*I1564,2)</f>
        <v>4900</v>
      </c>
      <c r="K1564" s="524"/>
      <c r="L1564" s="493">
        <v>1</v>
      </c>
      <c r="M1564" s="493" t="s">
        <v>422</v>
      </c>
      <c r="N1564" s="491">
        <f t="shared" si="98"/>
        <v>4900</v>
      </c>
      <c r="O1564" s="302"/>
      <c r="Q1564" s="595"/>
      <c r="R1564" s="484"/>
      <c r="S1564" s="595"/>
      <c r="T1564" s="595"/>
      <c r="U1564" s="595"/>
    </row>
    <row r="1565" spans="2:21" s="298" customFormat="1" ht="14.1" hidden="1" customHeight="1">
      <c r="B1565" s="951"/>
      <c r="C1565" s="600"/>
      <c r="D1565" s="602"/>
      <c r="E1565" s="695"/>
      <c r="F1565" s="691"/>
      <c r="G1565" s="696"/>
      <c r="H1565" s="697"/>
      <c r="I1565" s="533"/>
      <c r="J1565" s="527"/>
      <c r="K1565" s="528">
        <f>SUM(J1562:J1564)</f>
        <v>33100</v>
      </c>
      <c r="L1565" s="493"/>
      <c r="M1565" s="494"/>
      <c r="N1565" s="491">
        <f t="shared" si="98"/>
        <v>0</v>
      </c>
      <c r="O1565" s="302"/>
      <c r="Q1565" s="595"/>
      <c r="R1565" s="484"/>
      <c r="S1565" s="595"/>
      <c r="T1565" s="595"/>
      <c r="U1565" s="595"/>
    </row>
    <row r="1566" spans="2:21" s="298" customFormat="1" ht="14.1" hidden="1" customHeight="1">
      <c r="B1566" s="951"/>
      <c r="C1566" s="655" t="s">
        <v>215</v>
      </c>
      <c r="D1566" s="694" t="s">
        <v>212</v>
      </c>
      <c r="E1566" s="687"/>
      <c r="F1566" s="687"/>
      <c r="G1566" s="698"/>
      <c r="H1566" s="699"/>
      <c r="I1566" s="700"/>
      <c r="J1566" s="522"/>
      <c r="K1566" s="523"/>
      <c r="L1566" s="493"/>
      <c r="M1566" s="494"/>
      <c r="N1566" s="491">
        <f t="shared" si="98"/>
        <v>0</v>
      </c>
      <c r="O1566" s="302"/>
      <c r="Q1566" s="595"/>
      <c r="R1566" s="484"/>
      <c r="S1566" s="595"/>
      <c r="T1566" s="595"/>
      <c r="U1566" s="595"/>
    </row>
    <row r="1567" spans="2:21" s="298" customFormat="1" ht="14.1" hidden="1" customHeight="1">
      <c r="B1567" s="951"/>
      <c r="C1567" s="655"/>
      <c r="D1567" s="685"/>
      <c r="E1567" s="695"/>
      <c r="F1567" s="691"/>
      <c r="G1567" s="696"/>
      <c r="H1567" s="697"/>
      <c r="I1567" s="701"/>
      <c r="J1567" s="527"/>
      <c r="K1567" s="523"/>
      <c r="L1567" s="493"/>
      <c r="M1567" s="494"/>
      <c r="N1567" s="491">
        <f t="shared" si="98"/>
        <v>0</v>
      </c>
      <c r="O1567" s="302"/>
      <c r="Q1567" s="595"/>
      <c r="R1567" s="484"/>
      <c r="S1567" s="595"/>
      <c r="T1567" s="595"/>
      <c r="U1567" s="595"/>
    </row>
    <row r="1568" spans="2:21" s="298" customFormat="1" ht="14.1" hidden="1" customHeight="1">
      <c r="B1568" s="951"/>
      <c r="C1568" s="655"/>
      <c r="D1568" s="685"/>
      <c r="E1568" s="695"/>
      <c r="F1568" s="691"/>
      <c r="G1568" s="696"/>
      <c r="H1568" s="697"/>
      <c r="I1568" s="701"/>
      <c r="J1568" s="527"/>
      <c r="K1568" s="523"/>
      <c r="L1568" s="493"/>
      <c r="M1568" s="494"/>
      <c r="N1568" s="491">
        <f t="shared" si="98"/>
        <v>0</v>
      </c>
      <c r="O1568" s="302"/>
      <c r="Q1568" s="595"/>
      <c r="R1568" s="484"/>
      <c r="S1568" s="595"/>
      <c r="T1568" s="595"/>
      <c r="U1568" s="595"/>
    </row>
    <row r="1569" spans="2:21" s="298" customFormat="1" ht="14.1" hidden="1" customHeight="1">
      <c r="B1569" s="951"/>
      <c r="C1569" s="600"/>
      <c r="D1569" s="602"/>
      <c r="E1569" s="695"/>
      <c r="F1569" s="691"/>
      <c r="G1569" s="696"/>
      <c r="H1569" s="697"/>
      <c r="I1569" s="701"/>
      <c r="J1569" s="527"/>
      <c r="K1569" s="528">
        <f>SUM(J1566:J1566)</f>
        <v>0</v>
      </c>
      <c r="L1569" s="493"/>
      <c r="M1569" s="494"/>
      <c r="N1569" s="491">
        <f t="shared" si="98"/>
        <v>0</v>
      </c>
      <c r="O1569" s="302"/>
      <c r="Q1569" s="595"/>
      <c r="R1569" s="484"/>
      <c r="S1569" s="595"/>
      <c r="T1569" s="595"/>
      <c r="U1569" s="595"/>
    </row>
    <row r="1570" spans="2:21" s="298" customFormat="1" ht="14.1" hidden="1" customHeight="1">
      <c r="B1570" s="951"/>
      <c r="C1570" s="600" t="s">
        <v>216</v>
      </c>
      <c r="D1570" s="619" t="s">
        <v>219</v>
      </c>
      <c r="E1570" s="691"/>
      <c r="F1570" s="691"/>
      <c r="G1570" s="696"/>
      <c r="H1570" s="697"/>
      <c r="I1570" s="701"/>
      <c r="J1570" s="529" t="s">
        <v>220</v>
      </c>
      <c r="K1570" s="528">
        <f>K1561+K1565+K1569</f>
        <v>44600</v>
      </c>
      <c r="L1570" s="620">
        <f>N1570/K1570</f>
        <v>0.95930493273542605</v>
      </c>
      <c r="M1570" s="497"/>
      <c r="N1570" s="498">
        <f>SUM(N1559:N1569)</f>
        <v>42785</v>
      </c>
      <c r="O1570" s="302"/>
      <c r="Q1570" s="595"/>
      <c r="R1570" s="484"/>
      <c r="S1570" s="595"/>
      <c r="T1570" s="595"/>
      <c r="U1570" s="595"/>
    </row>
    <row r="1571" spans="2:21" s="298" customFormat="1" ht="14.1" hidden="1" customHeight="1">
      <c r="B1571" s="951"/>
      <c r="C1571" s="600" t="s">
        <v>217</v>
      </c>
      <c r="D1571" s="619" t="s">
        <v>221</v>
      </c>
      <c r="E1571" s="691"/>
      <c r="F1571" s="499">
        <f>$F$48</f>
        <v>0.1</v>
      </c>
      <c r="G1571" s="605" t="s">
        <v>168</v>
      </c>
      <c r="H1571" s="499">
        <f>$H$48</f>
        <v>0.02</v>
      </c>
      <c r="I1571" s="702" t="s">
        <v>167</v>
      </c>
      <c r="J1571" s="528" t="s">
        <v>216</v>
      </c>
      <c r="K1571" s="530">
        <f>ROUND((K1570*(F1571+H1571)),2)</f>
        <v>5352</v>
      </c>
      <c r="L1571" s="494"/>
      <c r="M1571" s="494"/>
      <c r="N1571" s="494"/>
      <c r="O1571" s="302"/>
      <c r="Q1571" s="595"/>
      <c r="R1571" s="484"/>
      <c r="S1571" s="595"/>
      <c r="T1571" s="595"/>
      <c r="U1571" s="595"/>
    </row>
    <row r="1572" spans="2:21" s="298" customFormat="1" ht="14.1" hidden="1" customHeight="1">
      <c r="B1572" s="951"/>
      <c r="C1572" s="622" t="s">
        <v>222</v>
      </c>
      <c r="D1572" s="703" t="s">
        <v>76</v>
      </c>
      <c r="E1572" s="704"/>
      <c r="F1572" s="704"/>
      <c r="G1572" s="704"/>
      <c r="H1572" s="705"/>
      <c r="I1572" s="704"/>
      <c r="J1572" s="706" t="s">
        <v>226</v>
      </c>
      <c r="K1572" s="707">
        <f>SUM(K1570:K1571)</f>
        <v>49952</v>
      </c>
      <c r="L1572" s="620"/>
      <c r="M1572" s="626"/>
      <c r="N1572" s="635"/>
      <c r="O1572" s="302"/>
      <c r="Q1572" s="595"/>
      <c r="R1572" s="484"/>
      <c r="S1572" s="595"/>
      <c r="T1572" s="595"/>
      <c r="U1572" s="595"/>
    </row>
    <row r="1573" spans="2:21" hidden="1">
      <c r="Q1573" s="595"/>
      <c r="R1573" s="484"/>
      <c r="S1573" s="595"/>
      <c r="T1573" s="595"/>
      <c r="U1573" s="595"/>
    </row>
    <row r="1574" spans="2:21" s="505" customFormat="1" ht="14.1" customHeight="1">
      <c r="B1574" s="951">
        <f>B1554+1</f>
        <v>80</v>
      </c>
      <c r="C1574" s="488"/>
      <c r="D1574" s="709" t="s">
        <v>369</v>
      </c>
      <c r="E1574" s="485"/>
      <c r="F1574" s="485"/>
      <c r="G1574" s="485"/>
      <c r="H1574" s="488"/>
      <c r="I1574" s="485"/>
      <c r="J1574" s="485"/>
      <c r="K1574" s="591" t="s">
        <v>239</v>
      </c>
      <c r="L1574" s="591"/>
      <c r="M1574" s="591"/>
      <c r="N1574" s="591"/>
      <c r="O1574" s="631" t="str">
        <f>D1575</f>
        <v>ttk</v>
      </c>
      <c r="P1574" s="595">
        <f>K1593</f>
        <v>160003.20000000001</v>
      </c>
      <c r="Q1574" s="593">
        <f>L1591</f>
        <v>0.751504969900602</v>
      </c>
      <c r="R1574" s="484">
        <f>N1591</f>
        <v>107360</v>
      </c>
      <c r="S1574" s="594"/>
      <c r="T1574" s="484"/>
      <c r="U1574" s="593"/>
    </row>
    <row r="1575" spans="2:21" s="505" customFormat="1" ht="14.1" customHeight="1">
      <c r="B1575" s="951"/>
      <c r="C1575" s="488"/>
      <c r="D1575" s="485" t="s">
        <v>140</v>
      </c>
      <c r="E1575" s="485"/>
      <c r="F1575" s="485"/>
      <c r="G1575" s="485"/>
      <c r="H1575" s="488"/>
      <c r="I1575" s="485"/>
      <c r="J1575" s="485"/>
      <c r="K1575" s="485"/>
      <c r="L1575" s="485"/>
      <c r="M1575" s="485"/>
      <c r="N1575" s="485"/>
      <c r="O1575" s="631"/>
      <c r="Q1575" s="595"/>
      <c r="R1575" s="484"/>
      <c r="S1575" s="595"/>
      <c r="T1575" s="595"/>
      <c r="U1575" s="595"/>
    </row>
    <row r="1576" spans="2:21" s="505" customFormat="1" ht="14.1" customHeight="1">
      <c r="B1576" s="951"/>
      <c r="C1576" s="596"/>
      <c r="D1576" s="977" t="s">
        <v>55</v>
      </c>
      <c r="E1576" s="978"/>
      <c r="F1576" s="597"/>
      <c r="G1576" s="981" t="s">
        <v>56</v>
      </c>
      <c r="H1576" s="981" t="s">
        <v>57</v>
      </c>
      <c r="I1576" s="596" t="s">
        <v>58</v>
      </c>
      <c r="J1576" s="596" t="s">
        <v>59</v>
      </c>
      <c r="K1576" s="596" t="s">
        <v>102</v>
      </c>
      <c r="L1576" s="596" t="s">
        <v>418</v>
      </c>
      <c r="M1576" s="596" t="s">
        <v>419</v>
      </c>
      <c r="N1576" s="596" t="s">
        <v>59</v>
      </c>
      <c r="O1576" s="631"/>
      <c r="Q1576" s="595"/>
      <c r="R1576" s="484"/>
      <c r="S1576" s="595"/>
      <c r="T1576" s="595"/>
      <c r="U1576" s="595"/>
    </row>
    <row r="1577" spans="2:21" s="505" customFormat="1" ht="14.1" customHeight="1">
      <c r="B1577" s="951"/>
      <c r="C1577" s="598" t="s">
        <v>227</v>
      </c>
      <c r="D1577" s="979"/>
      <c r="E1577" s="980"/>
      <c r="F1577" s="599"/>
      <c r="G1577" s="982"/>
      <c r="H1577" s="982"/>
      <c r="I1577" s="598" t="s">
        <v>60</v>
      </c>
      <c r="J1577" s="598" t="s">
        <v>61</v>
      </c>
      <c r="K1577" s="598" t="s">
        <v>61</v>
      </c>
      <c r="L1577" s="598" t="s">
        <v>421</v>
      </c>
      <c r="M1577" s="598"/>
      <c r="N1577" s="598" t="s">
        <v>423</v>
      </c>
      <c r="O1577" s="631"/>
      <c r="Q1577" s="595"/>
      <c r="R1577" s="484"/>
      <c r="S1577" s="595"/>
      <c r="T1577" s="595"/>
      <c r="U1577" s="595"/>
    </row>
    <row r="1578" spans="2:21" s="505" customFormat="1" ht="14.1" customHeight="1">
      <c r="B1578" s="951"/>
      <c r="C1578" s="600"/>
      <c r="D1578" s="969"/>
      <c r="E1578" s="970"/>
      <c r="F1578" s="601"/>
      <c r="G1578" s="973"/>
      <c r="H1578" s="973"/>
      <c r="I1578" s="600" t="s">
        <v>61</v>
      </c>
      <c r="J1578" s="602"/>
      <c r="K1578" s="602"/>
      <c r="L1578" s="602"/>
      <c r="M1578" s="602"/>
      <c r="N1578" s="600" t="s">
        <v>61</v>
      </c>
      <c r="O1578" s="631"/>
      <c r="Q1578" s="595"/>
      <c r="R1578" s="484"/>
      <c r="S1578" s="595"/>
      <c r="T1578" s="595"/>
      <c r="U1578" s="595"/>
    </row>
    <row r="1579" spans="2:21" s="505" customFormat="1" ht="14.1" customHeight="1">
      <c r="B1579" s="951"/>
      <c r="C1579" s="596" t="s">
        <v>213</v>
      </c>
      <c r="D1579" s="603" t="s">
        <v>62</v>
      </c>
      <c r="E1579" s="710" t="s">
        <v>293</v>
      </c>
      <c r="F1579" s="710"/>
      <c r="G1579" s="605" t="s">
        <v>50</v>
      </c>
      <c r="H1579" s="711">
        <v>1</v>
      </c>
      <c r="I1579" s="491">
        <f>'UPH-TNG'!$I$145</f>
        <v>8000</v>
      </c>
      <c r="J1579" s="491">
        <f t="shared" ref="J1579:J1582" si="99">ROUND(H1579*I1579,2)</f>
        <v>8000</v>
      </c>
      <c r="K1579" s="492"/>
      <c r="L1579" s="501">
        <v>0</v>
      </c>
      <c r="M1579" s="494"/>
      <c r="N1579" s="491">
        <f t="shared" ref="N1579:N1590" si="100">L1579*J1579</f>
        <v>0</v>
      </c>
      <c r="O1579" s="631"/>
      <c r="Q1579" s="595"/>
      <c r="R1579" s="484"/>
      <c r="S1579" s="595"/>
      <c r="T1579" s="595"/>
      <c r="U1579" s="595"/>
    </row>
    <row r="1580" spans="2:21" s="505" customFormat="1" ht="14.1" customHeight="1">
      <c r="B1580" s="951"/>
      <c r="C1580" s="607"/>
      <c r="D1580" s="607"/>
      <c r="E1580" s="722" t="s">
        <v>365</v>
      </c>
      <c r="F1580" s="710"/>
      <c r="G1580" s="605" t="s">
        <v>32</v>
      </c>
      <c r="H1580" s="711">
        <v>10</v>
      </c>
      <c r="I1580" s="491">
        <f>'UPH-TNG'!$I$68</f>
        <v>10000</v>
      </c>
      <c r="J1580" s="491">
        <f t="shared" si="99"/>
        <v>100000</v>
      </c>
      <c r="K1580" s="496"/>
      <c r="L1580" s="501">
        <f>L1559</f>
        <v>0.85599999999999998</v>
      </c>
      <c r="M1580" s="494" t="s">
        <v>429</v>
      </c>
      <c r="N1580" s="491">
        <f t="shared" si="100"/>
        <v>85600</v>
      </c>
      <c r="O1580" s="631"/>
      <c r="Q1580" s="595"/>
      <c r="R1580" s="484"/>
      <c r="S1580" s="595"/>
      <c r="T1580" s="595"/>
      <c r="U1580" s="595"/>
    </row>
    <row r="1581" spans="2:21" s="505" customFormat="1" ht="14.1" customHeight="1">
      <c r="B1581" s="951"/>
      <c r="C1581" s="607"/>
      <c r="D1581" s="607"/>
      <c r="E1581" s="727" t="s">
        <v>294</v>
      </c>
      <c r="F1581" s="727"/>
      <c r="G1581" s="596" t="s">
        <v>45</v>
      </c>
      <c r="H1581" s="728">
        <v>1</v>
      </c>
      <c r="I1581" s="492">
        <f>'UPH-TNG'!$I$146</f>
        <v>2500</v>
      </c>
      <c r="J1581" s="492">
        <f t="shared" si="99"/>
        <v>2500</v>
      </c>
      <c r="K1581" s="496"/>
      <c r="L1581" s="501">
        <v>0</v>
      </c>
      <c r="M1581" s="494"/>
      <c r="N1581" s="491">
        <f t="shared" si="100"/>
        <v>0</v>
      </c>
      <c r="O1581" s="631"/>
      <c r="Q1581" s="595"/>
      <c r="R1581" s="484"/>
      <c r="S1581" s="595"/>
      <c r="T1581" s="595"/>
      <c r="U1581" s="595"/>
    </row>
    <row r="1582" spans="2:21" s="505" customFormat="1" ht="14.1" customHeight="1">
      <c r="B1582" s="951"/>
      <c r="C1582" s="598"/>
      <c r="D1582" s="607"/>
      <c r="E1582" s="710" t="s">
        <v>295</v>
      </c>
      <c r="F1582" s="710"/>
      <c r="G1582" s="605" t="s">
        <v>45</v>
      </c>
      <c r="H1582" s="711">
        <v>1</v>
      </c>
      <c r="I1582" s="491">
        <f>'UPH-TNG'!$I$147</f>
        <v>2000</v>
      </c>
      <c r="J1582" s="491">
        <f t="shared" si="99"/>
        <v>2000</v>
      </c>
      <c r="K1582" s="496"/>
      <c r="L1582" s="501">
        <v>0</v>
      </c>
      <c r="M1582" s="494"/>
      <c r="N1582" s="491">
        <f t="shared" si="100"/>
        <v>0</v>
      </c>
      <c r="O1582" s="631"/>
      <c r="Q1582" s="595"/>
      <c r="R1582" s="484"/>
      <c r="S1582" s="595"/>
      <c r="T1582" s="595"/>
      <c r="U1582" s="595"/>
    </row>
    <row r="1583" spans="2:21" s="505" customFormat="1" ht="14.1" customHeight="1">
      <c r="B1583" s="951"/>
      <c r="C1583" s="729"/>
      <c r="D1583" s="730"/>
      <c r="E1583" s="731" t="s">
        <v>262</v>
      </c>
      <c r="F1583" s="710"/>
      <c r="G1583" s="605" t="s">
        <v>45</v>
      </c>
      <c r="H1583" s="711">
        <v>1</v>
      </c>
      <c r="I1583" s="491">
        <f>'UPH-TNG'!$I$57</f>
        <v>8600</v>
      </c>
      <c r="J1583" s="491">
        <f t="shared" ref="J1583" si="101">ROUND(H1583*I1583,2)</f>
        <v>8600</v>
      </c>
      <c r="K1583" s="534"/>
      <c r="L1583" s="501">
        <v>0</v>
      </c>
      <c r="M1583" s="494"/>
      <c r="N1583" s="491">
        <f t="shared" si="100"/>
        <v>0</v>
      </c>
      <c r="O1583" s="631"/>
      <c r="Q1583" s="595"/>
      <c r="R1583" s="484"/>
      <c r="S1583" s="595"/>
      <c r="T1583" s="595"/>
      <c r="U1583" s="595"/>
    </row>
    <row r="1584" spans="2:21" s="505" customFormat="1" ht="14.1" customHeight="1">
      <c r="B1584" s="951"/>
      <c r="C1584" s="598"/>
      <c r="D1584" s="607"/>
      <c r="E1584" s="712"/>
      <c r="F1584" s="713"/>
      <c r="G1584" s="610"/>
      <c r="H1584" s="714"/>
      <c r="I1584" s="504"/>
      <c r="J1584" s="495"/>
      <c r="K1584" s="491">
        <f>SUM(J1579:J1583)</f>
        <v>121100</v>
      </c>
      <c r="L1584" s="493"/>
      <c r="M1584" s="494"/>
      <c r="N1584" s="491">
        <f t="shared" si="100"/>
        <v>0</v>
      </c>
      <c r="O1584" s="631"/>
      <c r="Q1584" s="595"/>
      <c r="R1584" s="484"/>
      <c r="S1584" s="595"/>
      <c r="T1584" s="595"/>
      <c r="U1584" s="595"/>
    </row>
    <row r="1585" spans="2:21" s="505" customFormat="1" ht="14.1" customHeight="1">
      <c r="B1585" s="951"/>
      <c r="C1585" s="596" t="s">
        <v>214</v>
      </c>
      <c r="D1585" s="603" t="s">
        <v>63</v>
      </c>
      <c r="E1585" s="722" t="s">
        <v>64</v>
      </c>
      <c r="F1585" s="722"/>
      <c r="G1585" s="698" t="s">
        <v>66</v>
      </c>
      <c r="H1585" s="723">
        <v>0.08</v>
      </c>
      <c r="I1585" s="617">
        <f>'UPH-TNG'!$I$15</f>
        <v>92000</v>
      </c>
      <c r="J1585" s="522">
        <f>ROUND(H1585*I1585,2)</f>
        <v>7360</v>
      </c>
      <c r="K1585" s="535"/>
      <c r="L1585" s="493">
        <v>1</v>
      </c>
      <c r="M1585" s="493" t="s">
        <v>422</v>
      </c>
      <c r="N1585" s="491">
        <f t="shared" si="100"/>
        <v>7360</v>
      </c>
      <c r="O1585" s="631"/>
      <c r="Q1585" s="595"/>
      <c r="R1585" s="484"/>
      <c r="S1585" s="595"/>
      <c r="T1585" s="595"/>
      <c r="U1585" s="595"/>
    </row>
    <row r="1586" spans="2:21" s="505" customFormat="1" ht="14.1" customHeight="1">
      <c r="B1586" s="951"/>
      <c r="C1586" s="729"/>
      <c r="D1586" s="730"/>
      <c r="E1586" s="722" t="s">
        <v>5</v>
      </c>
      <c r="F1586" s="722"/>
      <c r="G1586" s="698" t="s">
        <v>66</v>
      </c>
      <c r="H1586" s="723">
        <v>0.1</v>
      </c>
      <c r="I1586" s="522">
        <f>'UPH-TNG'!$I$26</f>
        <v>95000</v>
      </c>
      <c r="J1586" s="522">
        <f>ROUND(H1586*I1586,2)</f>
        <v>9500</v>
      </c>
      <c r="K1586" s="534"/>
      <c r="L1586" s="493">
        <v>1</v>
      </c>
      <c r="M1586" s="493" t="s">
        <v>422</v>
      </c>
      <c r="N1586" s="491">
        <f t="shared" si="100"/>
        <v>9500</v>
      </c>
      <c r="O1586" s="631"/>
      <c r="Q1586" s="595"/>
      <c r="R1586" s="484"/>
      <c r="S1586" s="595"/>
      <c r="T1586" s="595"/>
      <c r="U1586" s="595"/>
    </row>
    <row r="1587" spans="2:21" s="505" customFormat="1" ht="14.1" customHeight="1">
      <c r="B1587" s="951"/>
      <c r="C1587" s="729"/>
      <c r="D1587" s="730"/>
      <c r="E1587" s="722" t="s">
        <v>65</v>
      </c>
      <c r="F1587" s="722"/>
      <c r="G1587" s="698" t="s">
        <v>66</v>
      </c>
      <c r="H1587" s="723">
        <v>0.05</v>
      </c>
      <c r="I1587" s="617">
        <f>'UPH-TNG'!$I$20</f>
        <v>98000</v>
      </c>
      <c r="J1587" s="522">
        <f>ROUND(H1587*I1587,2)</f>
        <v>4900</v>
      </c>
      <c r="K1587" s="534"/>
      <c r="L1587" s="493">
        <v>1</v>
      </c>
      <c r="M1587" s="493" t="s">
        <v>422</v>
      </c>
      <c r="N1587" s="491">
        <f t="shared" si="100"/>
        <v>4900</v>
      </c>
      <c r="O1587" s="631"/>
      <c r="Q1587" s="595"/>
      <c r="R1587" s="484"/>
      <c r="S1587" s="595"/>
      <c r="T1587" s="595"/>
      <c r="U1587" s="595"/>
    </row>
    <row r="1588" spans="2:21" s="505" customFormat="1" ht="14.1" customHeight="1">
      <c r="B1588" s="951"/>
      <c r="C1588" s="600"/>
      <c r="D1588" s="602"/>
      <c r="E1588" s="695"/>
      <c r="F1588" s="691"/>
      <c r="G1588" s="696"/>
      <c r="H1588" s="697"/>
      <c r="I1588" s="533"/>
      <c r="J1588" s="527"/>
      <c r="K1588" s="528">
        <f>SUM(J1585:J1587)</f>
        <v>21760</v>
      </c>
      <c r="L1588" s="493"/>
      <c r="M1588" s="494"/>
      <c r="N1588" s="491">
        <f t="shared" si="100"/>
        <v>0</v>
      </c>
      <c r="O1588" s="631"/>
      <c r="Q1588" s="595"/>
      <c r="R1588" s="484"/>
      <c r="S1588" s="595"/>
      <c r="T1588" s="595"/>
      <c r="U1588" s="595"/>
    </row>
    <row r="1589" spans="2:21" s="505" customFormat="1" ht="14.1" customHeight="1">
      <c r="B1589" s="951"/>
      <c r="C1589" s="598" t="s">
        <v>215</v>
      </c>
      <c r="D1589" s="603" t="s">
        <v>212</v>
      </c>
      <c r="E1589" s="615"/>
      <c r="F1589" s="615"/>
      <c r="G1589" s="605"/>
      <c r="H1589" s="616"/>
      <c r="I1589" s="617"/>
      <c r="J1589" s="491"/>
      <c r="K1589" s="492"/>
      <c r="L1589" s="493"/>
      <c r="M1589" s="494"/>
      <c r="N1589" s="491">
        <f t="shared" si="100"/>
        <v>0</v>
      </c>
      <c r="O1589" s="631"/>
      <c r="Q1589" s="595"/>
      <c r="R1589" s="484"/>
      <c r="S1589" s="595"/>
      <c r="T1589" s="595"/>
      <c r="U1589" s="595"/>
    </row>
    <row r="1590" spans="2:21" s="505" customFormat="1" ht="14.1" customHeight="1">
      <c r="B1590" s="951"/>
      <c r="C1590" s="600"/>
      <c r="D1590" s="602"/>
      <c r="E1590" s="612"/>
      <c r="F1590" s="613"/>
      <c r="G1590" s="610"/>
      <c r="H1590" s="614"/>
      <c r="I1590" s="618"/>
      <c r="J1590" s="495"/>
      <c r="K1590" s="494">
        <f>SUM(J1589:J1589)</f>
        <v>0</v>
      </c>
      <c r="L1590" s="493"/>
      <c r="M1590" s="494"/>
      <c r="N1590" s="491">
        <f t="shared" si="100"/>
        <v>0</v>
      </c>
      <c r="O1590" s="631"/>
      <c r="Q1590" s="595"/>
      <c r="R1590" s="484"/>
      <c r="S1590" s="595"/>
      <c r="T1590" s="595"/>
      <c r="U1590" s="595"/>
    </row>
    <row r="1591" spans="2:21" s="505" customFormat="1" ht="14.1" customHeight="1">
      <c r="B1591" s="951"/>
      <c r="C1591" s="600" t="s">
        <v>216</v>
      </c>
      <c r="D1591" s="619" t="s">
        <v>219</v>
      </c>
      <c r="E1591" s="613"/>
      <c r="F1591" s="613"/>
      <c r="G1591" s="610"/>
      <c r="H1591" s="614"/>
      <c r="I1591" s="618"/>
      <c r="J1591" s="497" t="s">
        <v>220</v>
      </c>
      <c r="K1591" s="494">
        <f>K1584+K1588+K1590</f>
        <v>142860</v>
      </c>
      <c r="L1591" s="620">
        <f>N1591/K1591</f>
        <v>0.751504969900602</v>
      </c>
      <c r="M1591" s="497"/>
      <c r="N1591" s="498">
        <f>SUM(N1578:N1590)</f>
        <v>107360</v>
      </c>
      <c r="O1591" s="631"/>
      <c r="Q1591" s="595"/>
      <c r="R1591" s="484"/>
      <c r="S1591" s="595"/>
      <c r="T1591" s="595"/>
      <c r="U1591" s="595"/>
    </row>
    <row r="1592" spans="2:21" s="505" customFormat="1" ht="14.1" customHeight="1">
      <c r="B1592" s="951"/>
      <c r="C1592" s="600" t="s">
        <v>217</v>
      </c>
      <c r="D1592" s="619" t="s">
        <v>221</v>
      </c>
      <c r="E1592" s="613"/>
      <c r="F1592" s="499">
        <f>$F$48</f>
        <v>0.1</v>
      </c>
      <c r="G1592" s="605" t="s">
        <v>168</v>
      </c>
      <c r="H1592" s="499">
        <f>$H$48</f>
        <v>0.02</v>
      </c>
      <c r="I1592" s="621" t="s">
        <v>167</v>
      </c>
      <c r="J1592" s="494" t="s">
        <v>216</v>
      </c>
      <c r="K1592" s="500">
        <f>ROUND((K1591*(F1592+H1592)),2)</f>
        <v>17143.2</v>
      </c>
      <c r="L1592" s="494"/>
      <c r="M1592" s="494"/>
      <c r="N1592" s="494"/>
      <c r="O1592" s="631"/>
      <c r="Q1592" s="595"/>
      <c r="R1592" s="484"/>
      <c r="S1592" s="595"/>
      <c r="T1592" s="595"/>
      <c r="U1592" s="595"/>
    </row>
    <row r="1593" spans="2:21" s="505" customFormat="1" ht="14.1" customHeight="1">
      <c r="B1593" s="951"/>
      <c r="C1593" s="622" t="s">
        <v>222</v>
      </c>
      <c r="D1593" s="623" t="s">
        <v>76</v>
      </c>
      <c r="E1593" s="624"/>
      <c r="F1593" s="624"/>
      <c r="G1593" s="624"/>
      <c r="H1593" s="625"/>
      <c r="I1593" s="624"/>
      <c r="J1593" s="626" t="s">
        <v>226</v>
      </c>
      <c r="K1593" s="627">
        <f>SUM(K1591:K1592)</f>
        <v>160003.20000000001</v>
      </c>
      <c r="L1593" s="620"/>
      <c r="M1593" s="626"/>
      <c r="N1593" s="635"/>
      <c r="O1593" s="631"/>
      <c r="Q1593" s="595"/>
      <c r="R1593" s="484"/>
      <c r="S1593" s="595"/>
      <c r="T1593" s="595"/>
      <c r="U1593" s="595"/>
    </row>
    <row r="1594" spans="2:21">
      <c r="Q1594" s="595"/>
      <c r="R1594" s="484"/>
      <c r="S1594" s="595"/>
      <c r="T1594" s="595"/>
      <c r="U1594" s="595"/>
    </row>
    <row r="1595" spans="2:21" s="505" customFormat="1" ht="14.1" customHeight="1">
      <c r="B1595" s="951">
        <f>B1574+1</f>
        <v>81</v>
      </c>
      <c r="C1595" s="488"/>
      <c r="D1595" s="709" t="s">
        <v>368</v>
      </c>
      <c r="E1595" s="485"/>
      <c r="F1595" s="485"/>
      <c r="G1595" s="485"/>
      <c r="H1595" s="488"/>
      <c r="I1595" s="485"/>
      <c r="J1595" s="485"/>
      <c r="K1595" s="591" t="s">
        <v>239</v>
      </c>
      <c r="L1595" s="591"/>
      <c r="M1595" s="591"/>
      <c r="N1595" s="591"/>
      <c r="O1595" s="631" t="str">
        <f>D1596</f>
        <v>ttk</v>
      </c>
      <c r="P1595" s="595">
        <f>K1613</f>
        <v>150371.20000000001</v>
      </c>
      <c r="Q1595" s="593">
        <f>L1611</f>
        <v>0.79964248473111876</v>
      </c>
      <c r="R1595" s="484">
        <f>N1611</f>
        <v>107360</v>
      </c>
      <c r="S1595" s="594"/>
      <c r="T1595" s="484"/>
      <c r="U1595" s="593"/>
    </row>
    <row r="1596" spans="2:21" s="505" customFormat="1" ht="14.1" customHeight="1">
      <c r="B1596" s="951"/>
      <c r="C1596" s="488"/>
      <c r="D1596" s="485" t="s">
        <v>140</v>
      </c>
      <c r="E1596" s="485"/>
      <c r="F1596" s="485"/>
      <c r="G1596" s="485"/>
      <c r="H1596" s="488"/>
      <c r="I1596" s="485"/>
      <c r="J1596" s="485"/>
      <c r="K1596" s="485"/>
      <c r="L1596" s="485"/>
      <c r="M1596" s="485"/>
      <c r="N1596" s="485"/>
      <c r="O1596" s="631"/>
      <c r="Q1596" s="595"/>
      <c r="R1596" s="484"/>
      <c r="S1596" s="595"/>
      <c r="T1596" s="595"/>
      <c r="U1596" s="595"/>
    </row>
    <row r="1597" spans="2:21" s="505" customFormat="1" ht="14.1" customHeight="1">
      <c r="B1597" s="951"/>
      <c r="C1597" s="596"/>
      <c r="D1597" s="977" t="s">
        <v>55</v>
      </c>
      <c r="E1597" s="978"/>
      <c r="F1597" s="597"/>
      <c r="G1597" s="981" t="s">
        <v>56</v>
      </c>
      <c r="H1597" s="981" t="s">
        <v>57</v>
      </c>
      <c r="I1597" s="596" t="s">
        <v>58</v>
      </c>
      <c r="J1597" s="596" t="s">
        <v>59</v>
      </c>
      <c r="K1597" s="596" t="s">
        <v>102</v>
      </c>
      <c r="L1597" s="596" t="s">
        <v>418</v>
      </c>
      <c r="M1597" s="596" t="s">
        <v>419</v>
      </c>
      <c r="N1597" s="596" t="s">
        <v>59</v>
      </c>
      <c r="O1597" s="631"/>
      <c r="Q1597" s="595"/>
      <c r="R1597" s="484"/>
      <c r="S1597" s="595"/>
      <c r="T1597" s="595"/>
      <c r="U1597" s="595"/>
    </row>
    <row r="1598" spans="2:21" s="505" customFormat="1" ht="14.1" customHeight="1">
      <c r="B1598" s="951"/>
      <c r="C1598" s="598" t="s">
        <v>227</v>
      </c>
      <c r="D1598" s="979"/>
      <c r="E1598" s="980"/>
      <c r="F1598" s="599"/>
      <c r="G1598" s="982"/>
      <c r="H1598" s="982"/>
      <c r="I1598" s="598" t="s">
        <v>60</v>
      </c>
      <c r="J1598" s="598" t="s">
        <v>61</v>
      </c>
      <c r="K1598" s="598" t="s">
        <v>61</v>
      </c>
      <c r="L1598" s="598" t="s">
        <v>421</v>
      </c>
      <c r="M1598" s="598"/>
      <c r="N1598" s="598" t="s">
        <v>423</v>
      </c>
      <c r="O1598" s="631"/>
      <c r="Q1598" s="595"/>
      <c r="R1598" s="484"/>
      <c r="S1598" s="595"/>
      <c r="T1598" s="595"/>
      <c r="U1598" s="595"/>
    </row>
    <row r="1599" spans="2:21" s="505" customFormat="1" ht="14.1" customHeight="1">
      <c r="B1599" s="951"/>
      <c r="C1599" s="600"/>
      <c r="D1599" s="969"/>
      <c r="E1599" s="970"/>
      <c r="F1599" s="601"/>
      <c r="G1599" s="973"/>
      <c r="H1599" s="973"/>
      <c r="I1599" s="600" t="s">
        <v>61</v>
      </c>
      <c r="J1599" s="602"/>
      <c r="K1599" s="602"/>
      <c r="L1599" s="602"/>
      <c r="M1599" s="602"/>
      <c r="N1599" s="600" t="s">
        <v>61</v>
      </c>
      <c r="O1599" s="631"/>
      <c r="Q1599" s="595"/>
      <c r="R1599" s="484"/>
      <c r="S1599" s="595"/>
      <c r="T1599" s="595"/>
      <c r="U1599" s="595"/>
    </row>
    <row r="1600" spans="2:21" s="505" customFormat="1" ht="14.1" customHeight="1">
      <c r="B1600" s="951"/>
      <c r="C1600" s="596" t="s">
        <v>213</v>
      </c>
      <c r="D1600" s="603" t="s">
        <v>62</v>
      </c>
      <c r="E1600" s="710" t="s">
        <v>293</v>
      </c>
      <c r="F1600" s="710"/>
      <c r="G1600" s="605" t="s">
        <v>50</v>
      </c>
      <c r="H1600" s="711">
        <v>1</v>
      </c>
      <c r="I1600" s="491">
        <f>'UPH-TNG'!$I$145</f>
        <v>8000</v>
      </c>
      <c r="J1600" s="491">
        <f t="shared" ref="J1600:J1603" si="102">ROUND(H1600*I1600,2)</f>
        <v>8000</v>
      </c>
      <c r="K1600" s="492"/>
      <c r="L1600" s="501">
        <v>0</v>
      </c>
      <c r="M1600" s="494"/>
      <c r="N1600" s="491">
        <f t="shared" ref="N1600:N1610" si="103">L1600*J1600</f>
        <v>0</v>
      </c>
      <c r="O1600" s="631"/>
      <c r="Q1600" s="595"/>
      <c r="R1600" s="484"/>
      <c r="S1600" s="595"/>
      <c r="T1600" s="595"/>
      <c r="U1600" s="595"/>
    </row>
    <row r="1601" spans="2:21" s="505" customFormat="1" ht="14.1" customHeight="1">
      <c r="B1601" s="951"/>
      <c r="C1601" s="607"/>
      <c r="D1601" s="607"/>
      <c r="E1601" s="722" t="s">
        <v>365</v>
      </c>
      <c r="F1601" s="710"/>
      <c r="G1601" s="605" t="s">
        <v>32</v>
      </c>
      <c r="H1601" s="711">
        <v>10</v>
      </c>
      <c r="I1601" s="491">
        <f>'UPH-TNG'!$I$68</f>
        <v>10000</v>
      </c>
      <c r="J1601" s="491">
        <f t="shared" si="102"/>
        <v>100000</v>
      </c>
      <c r="K1601" s="496"/>
      <c r="L1601" s="501">
        <f>$L$1580</f>
        <v>0.85599999999999998</v>
      </c>
      <c r="M1601" s="494" t="s">
        <v>429</v>
      </c>
      <c r="N1601" s="491">
        <f t="shared" si="103"/>
        <v>85600</v>
      </c>
      <c r="O1601" s="631"/>
      <c r="Q1601" s="595"/>
      <c r="R1601" s="484"/>
      <c r="S1601" s="595"/>
      <c r="T1601" s="595"/>
      <c r="U1601" s="595"/>
    </row>
    <row r="1602" spans="2:21" s="505" customFormat="1" ht="14.1" customHeight="1">
      <c r="B1602" s="951"/>
      <c r="C1602" s="607"/>
      <c r="D1602" s="607"/>
      <c r="E1602" s="727" t="s">
        <v>294</v>
      </c>
      <c r="F1602" s="727"/>
      <c r="G1602" s="596" t="s">
        <v>45</v>
      </c>
      <c r="H1602" s="728">
        <v>1</v>
      </c>
      <c r="I1602" s="492">
        <f>'UPH-TNG'!$I$146</f>
        <v>2500</v>
      </c>
      <c r="J1602" s="492">
        <f t="shared" si="102"/>
        <v>2500</v>
      </c>
      <c r="K1602" s="496"/>
      <c r="L1602" s="501">
        <v>0</v>
      </c>
      <c r="M1602" s="494"/>
      <c r="N1602" s="491">
        <f t="shared" si="103"/>
        <v>0</v>
      </c>
      <c r="O1602" s="631"/>
      <c r="Q1602" s="595"/>
      <c r="R1602" s="484"/>
      <c r="S1602" s="595"/>
      <c r="T1602" s="595"/>
      <c r="U1602" s="595"/>
    </row>
    <row r="1603" spans="2:21" s="505" customFormat="1" ht="14.1" customHeight="1">
      <c r="B1603" s="951"/>
      <c r="C1603" s="598"/>
      <c r="D1603" s="607"/>
      <c r="E1603" s="710" t="s">
        <v>295</v>
      </c>
      <c r="F1603" s="710"/>
      <c r="G1603" s="605" t="s">
        <v>45</v>
      </c>
      <c r="H1603" s="711">
        <v>1</v>
      </c>
      <c r="I1603" s="491">
        <f>'UPH-TNG'!$I$147</f>
        <v>2000</v>
      </c>
      <c r="J1603" s="491">
        <f t="shared" si="102"/>
        <v>2000</v>
      </c>
      <c r="K1603" s="496"/>
      <c r="L1603" s="501">
        <v>0</v>
      </c>
      <c r="M1603" s="494"/>
      <c r="N1603" s="491">
        <f t="shared" si="103"/>
        <v>0</v>
      </c>
      <c r="O1603" s="631"/>
      <c r="Q1603" s="595"/>
      <c r="R1603" s="484"/>
      <c r="S1603" s="595"/>
      <c r="T1603" s="595"/>
      <c r="U1603" s="595"/>
    </row>
    <row r="1604" spans="2:21" s="505" customFormat="1" ht="14.1" customHeight="1">
      <c r="B1604" s="951"/>
      <c r="C1604" s="598"/>
      <c r="D1604" s="607"/>
      <c r="E1604" s="712"/>
      <c r="F1604" s="713"/>
      <c r="G1604" s="610"/>
      <c r="H1604" s="714"/>
      <c r="I1604" s="504"/>
      <c r="J1604" s="495"/>
      <c r="K1604" s="491">
        <f>SUM(J1600:J1603)</f>
        <v>112500</v>
      </c>
      <c r="L1604" s="493"/>
      <c r="M1604" s="494"/>
      <c r="N1604" s="491">
        <f t="shared" si="103"/>
        <v>0</v>
      </c>
      <c r="O1604" s="631"/>
      <c r="Q1604" s="595"/>
      <c r="R1604" s="484"/>
      <c r="S1604" s="595"/>
      <c r="T1604" s="595"/>
      <c r="U1604" s="595"/>
    </row>
    <row r="1605" spans="2:21" s="505" customFormat="1" ht="14.1" customHeight="1">
      <c r="B1605" s="951"/>
      <c r="C1605" s="596" t="s">
        <v>214</v>
      </c>
      <c r="D1605" s="603" t="s">
        <v>63</v>
      </c>
      <c r="E1605" s="722" t="s">
        <v>64</v>
      </c>
      <c r="F1605" s="722"/>
      <c r="G1605" s="698" t="s">
        <v>66</v>
      </c>
      <c r="H1605" s="723">
        <v>0.08</v>
      </c>
      <c r="I1605" s="617">
        <f>'UPH-TNG'!$I$15</f>
        <v>92000</v>
      </c>
      <c r="J1605" s="522">
        <f>ROUND(H1605*I1605,2)</f>
        <v>7360</v>
      </c>
      <c r="K1605" s="535"/>
      <c r="L1605" s="493">
        <v>1</v>
      </c>
      <c r="M1605" s="493" t="s">
        <v>422</v>
      </c>
      <c r="N1605" s="491">
        <f t="shared" si="103"/>
        <v>7360</v>
      </c>
      <c r="O1605" s="631"/>
      <c r="Q1605" s="595"/>
      <c r="R1605" s="484"/>
      <c r="S1605" s="595"/>
      <c r="T1605" s="595"/>
      <c r="U1605" s="595"/>
    </row>
    <row r="1606" spans="2:21" s="505" customFormat="1" ht="14.1" customHeight="1">
      <c r="B1606" s="951"/>
      <c r="C1606" s="729"/>
      <c r="D1606" s="730"/>
      <c r="E1606" s="722" t="s">
        <v>5</v>
      </c>
      <c r="F1606" s="722"/>
      <c r="G1606" s="698" t="s">
        <v>66</v>
      </c>
      <c r="H1606" s="723">
        <v>0.1</v>
      </c>
      <c r="I1606" s="522">
        <f>'UPH-TNG'!$I$26</f>
        <v>95000</v>
      </c>
      <c r="J1606" s="522">
        <f>ROUND(H1606*I1606,2)</f>
        <v>9500</v>
      </c>
      <c r="K1606" s="534"/>
      <c r="L1606" s="493">
        <v>1</v>
      </c>
      <c r="M1606" s="493" t="s">
        <v>422</v>
      </c>
      <c r="N1606" s="491">
        <f t="shared" si="103"/>
        <v>9500</v>
      </c>
      <c r="O1606" s="631"/>
      <c r="Q1606" s="595"/>
      <c r="R1606" s="484"/>
      <c r="S1606" s="595"/>
      <c r="T1606" s="595"/>
      <c r="U1606" s="595"/>
    </row>
    <row r="1607" spans="2:21" s="505" customFormat="1" ht="14.1" customHeight="1">
      <c r="B1607" s="951"/>
      <c r="C1607" s="729"/>
      <c r="D1607" s="730"/>
      <c r="E1607" s="722" t="s">
        <v>65</v>
      </c>
      <c r="F1607" s="722"/>
      <c r="G1607" s="698" t="s">
        <v>66</v>
      </c>
      <c r="H1607" s="723">
        <v>0.05</v>
      </c>
      <c r="I1607" s="617">
        <f>'UPH-TNG'!$I$20</f>
        <v>98000</v>
      </c>
      <c r="J1607" s="522">
        <f>ROUND(H1607*I1607,2)</f>
        <v>4900</v>
      </c>
      <c r="K1607" s="534"/>
      <c r="L1607" s="493">
        <v>1</v>
      </c>
      <c r="M1607" s="493" t="s">
        <v>422</v>
      </c>
      <c r="N1607" s="491">
        <f t="shared" si="103"/>
        <v>4900</v>
      </c>
      <c r="O1607" s="631"/>
      <c r="Q1607" s="595"/>
      <c r="R1607" s="484"/>
      <c r="S1607" s="595"/>
      <c r="T1607" s="595"/>
      <c r="U1607" s="595"/>
    </row>
    <row r="1608" spans="2:21" s="505" customFormat="1" ht="14.1" customHeight="1">
      <c r="B1608" s="951"/>
      <c r="C1608" s="600"/>
      <c r="D1608" s="602"/>
      <c r="E1608" s="695"/>
      <c r="F1608" s="691"/>
      <c r="G1608" s="696"/>
      <c r="H1608" s="697"/>
      <c r="I1608" s="533"/>
      <c r="J1608" s="527"/>
      <c r="K1608" s="528">
        <f>SUM(J1605:J1607)</f>
        <v>21760</v>
      </c>
      <c r="L1608" s="493"/>
      <c r="M1608" s="494"/>
      <c r="N1608" s="491">
        <f t="shared" si="103"/>
        <v>0</v>
      </c>
      <c r="O1608" s="631"/>
      <c r="Q1608" s="595"/>
      <c r="R1608" s="484"/>
      <c r="S1608" s="595"/>
      <c r="T1608" s="595"/>
      <c r="U1608" s="595"/>
    </row>
    <row r="1609" spans="2:21" s="505" customFormat="1" ht="14.1" customHeight="1">
      <c r="B1609" s="951"/>
      <c r="C1609" s="598" t="s">
        <v>215</v>
      </c>
      <c r="D1609" s="603" t="s">
        <v>212</v>
      </c>
      <c r="E1609" s="615"/>
      <c r="F1609" s="615"/>
      <c r="G1609" s="605"/>
      <c r="H1609" s="616"/>
      <c r="I1609" s="617"/>
      <c r="J1609" s="491"/>
      <c r="K1609" s="492"/>
      <c r="L1609" s="493"/>
      <c r="M1609" s="494"/>
      <c r="N1609" s="491">
        <f t="shared" si="103"/>
        <v>0</v>
      </c>
      <c r="O1609" s="631"/>
      <c r="Q1609" s="595"/>
      <c r="R1609" s="484"/>
      <c r="S1609" s="595"/>
      <c r="T1609" s="595"/>
      <c r="U1609" s="595"/>
    </row>
    <row r="1610" spans="2:21" s="505" customFormat="1" ht="14.1" customHeight="1">
      <c r="B1610" s="951"/>
      <c r="C1610" s="600"/>
      <c r="D1610" s="602"/>
      <c r="E1610" s="612"/>
      <c r="F1610" s="613"/>
      <c r="G1610" s="610"/>
      <c r="H1610" s="614"/>
      <c r="I1610" s="618"/>
      <c r="J1610" s="495"/>
      <c r="K1610" s="494">
        <f>SUM(J1609:J1609)</f>
        <v>0</v>
      </c>
      <c r="L1610" s="493"/>
      <c r="M1610" s="494"/>
      <c r="N1610" s="491">
        <f t="shared" si="103"/>
        <v>0</v>
      </c>
      <c r="O1610" s="631"/>
      <c r="Q1610" s="595"/>
      <c r="R1610" s="484"/>
      <c r="S1610" s="595"/>
      <c r="T1610" s="595"/>
      <c r="U1610" s="595"/>
    </row>
    <row r="1611" spans="2:21" s="505" customFormat="1" ht="14.1" customHeight="1">
      <c r="B1611" s="951"/>
      <c r="C1611" s="600" t="s">
        <v>216</v>
      </c>
      <c r="D1611" s="619" t="s">
        <v>219</v>
      </c>
      <c r="E1611" s="613"/>
      <c r="F1611" s="613"/>
      <c r="G1611" s="610"/>
      <c r="H1611" s="614"/>
      <c r="I1611" s="618"/>
      <c r="J1611" s="497" t="s">
        <v>220</v>
      </c>
      <c r="K1611" s="494">
        <f>K1604+K1608+K1610</f>
        <v>134260</v>
      </c>
      <c r="L1611" s="620">
        <f>N1611/K1611</f>
        <v>0.79964248473111876</v>
      </c>
      <c r="M1611" s="497"/>
      <c r="N1611" s="498">
        <f>SUM(N1600:N1610)</f>
        <v>107360</v>
      </c>
      <c r="O1611" s="631"/>
      <c r="Q1611" s="595"/>
      <c r="R1611" s="484"/>
      <c r="S1611" s="595"/>
      <c r="T1611" s="595"/>
      <c r="U1611" s="595"/>
    </row>
    <row r="1612" spans="2:21" s="505" customFormat="1" ht="14.1" customHeight="1">
      <c r="B1612" s="951"/>
      <c r="C1612" s="600" t="s">
        <v>217</v>
      </c>
      <c r="D1612" s="619" t="s">
        <v>221</v>
      </c>
      <c r="E1612" s="613"/>
      <c r="F1612" s="499">
        <f>$F$48</f>
        <v>0.1</v>
      </c>
      <c r="G1612" s="605" t="s">
        <v>168</v>
      </c>
      <c r="H1612" s="499">
        <f>$H$48</f>
        <v>0.02</v>
      </c>
      <c r="I1612" s="621" t="s">
        <v>167</v>
      </c>
      <c r="J1612" s="494" t="s">
        <v>216</v>
      </c>
      <c r="K1612" s="500">
        <f>ROUND((K1611*(F1612+H1612)),2)</f>
        <v>16111.2</v>
      </c>
      <c r="L1612" s="494"/>
      <c r="M1612" s="494"/>
      <c r="N1612" s="494"/>
      <c r="O1612" s="631"/>
      <c r="Q1612" s="595"/>
      <c r="R1612" s="484"/>
      <c r="S1612" s="595"/>
      <c r="T1612" s="595"/>
      <c r="U1612" s="595"/>
    </row>
    <row r="1613" spans="2:21" s="505" customFormat="1" ht="14.1" customHeight="1">
      <c r="B1613" s="951"/>
      <c r="C1613" s="622" t="s">
        <v>222</v>
      </c>
      <c r="D1613" s="623" t="s">
        <v>76</v>
      </c>
      <c r="E1613" s="624"/>
      <c r="F1613" s="624"/>
      <c r="G1613" s="624"/>
      <c r="H1613" s="625"/>
      <c r="I1613" s="624"/>
      <c r="J1613" s="626" t="s">
        <v>226</v>
      </c>
      <c r="K1613" s="627">
        <f>SUM(K1611:K1612)</f>
        <v>150371.20000000001</v>
      </c>
      <c r="L1613" s="620"/>
      <c r="M1613" s="626"/>
      <c r="N1613" s="635"/>
      <c r="O1613" s="631"/>
      <c r="Q1613" s="595"/>
      <c r="R1613" s="484"/>
      <c r="S1613" s="595"/>
      <c r="T1613" s="595"/>
      <c r="U1613" s="595"/>
    </row>
    <row r="1614" spans="2:21">
      <c r="Q1614" s="595"/>
      <c r="R1614" s="484"/>
      <c r="S1614" s="595"/>
      <c r="T1614" s="595"/>
      <c r="U1614" s="595"/>
    </row>
    <row r="1615" spans="2:21" s="298" customFormat="1" ht="14.1" customHeight="1">
      <c r="B1615" s="951">
        <f>B1595+1</f>
        <v>82</v>
      </c>
      <c r="C1615" s="488"/>
      <c r="D1615" s="590" t="s">
        <v>366</v>
      </c>
      <c r="E1615" s="485"/>
      <c r="F1615" s="485"/>
      <c r="G1615" s="485"/>
      <c r="H1615" s="488"/>
      <c r="I1615" s="485"/>
      <c r="J1615" s="485"/>
      <c r="K1615" s="591" t="s">
        <v>239</v>
      </c>
      <c r="L1615" s="591"/>
      <c r="M1615" s="591"/>
      <c r="N1615" s="591"/>
      <c r="O1615" s="302" t="str">
        <f>D1616</f>
        <v>ttk</v>
      </c>
      <c r="P1615" s="592">
        <f>K1633</f>
        <v>150371.20000000001</v>
      </c>
      <c r="Q1615" s="593">
        <f>L1631</f>
        <v>0.79964248473111876</v>
      </c>
      <c r="R1615" s="484">
        <f>N1631</f>
        <v>107360</v>
      </c>
      <c r="S1615" s="594"/>
      <c r="T1615" s="484"/>
      <c r="U1615" s="593"/>
    </row>
    <row r="1616" spans="2:21" s="298" customFormat="1" ht="14.1" customHeight="1">
      <c r="B1616" s="951"/>
      <c r="C1616" s="488"/>
      <c r="D1616" s="485" t="s">
        <v>140</v>
      </c>
      <c r="E1616" s="485"/>
      <c r="F1616" s="485"/>
      <c r="G1616" s="485"/>
      <c r="H1616" s="488"/>
      <c r="I1616" s="485"/>
      <c r="J1616" s="485"/>
      <c r="K1616" s="485"/>
      <c r="L1616" s="485"/>
      <c r="M1616" s="485"/>
      <c r="N1616" s="485"/>
      <c r="O1616" s="302"/>
      <c r="Q1616" s="595"/>
      <c r="R1616" s="484"/>
      <c r="S1616" s="595"/>
      <c r="T1616" s="595"/>
      <c r="U1616" s="595"/>
    </row>
    <row r="1617" spans="2:21" s="298" customFormat="1" ht="14.1" customHeight="1">
      <c r="B1617" s="951"/>
      <c r="C1617" s="653"/>
      <c r="D1617" s="975" t="s">
        <v>55</v>
      </c>
      <c r="E1617" s="976"/>
      <c r="F1617" s="652"/>
      <c r="G1617" s="974" t="s">
        <v>56</v>
      </c>
      <c r="H1617" s="974" t="s">
        <v>57</v>
      </c>
      <c r="I1617" s="653" t="s">
        <v>58</v>
      </c>
      <c r="J1617" s="653" t="s">
        <v>59</v>
      </c>
      <c r="K1617" s="653" t="s">
        <v>102</v>
      </c>
      <c r="L1617" s="596" t="s">
        <v>418</v>
      </c>
      <c r="M1617" s="596" t="s">
        <v>419</v>
      </c>
      <c r="N1617" s="596" t="s">
        <v>59</v>
      </c>
      <c r="O1617" s="302"/>
      <c r="Q1617" s="595"/>
      <c r="R1617" s="484"/>
      <c r="S1617" s="595"/>
      <c r="T1617" s="595"/>
      <c r="U1617" s="595"/>
    </row>
    <row r="1618" spans="2:21" s="298" customFormat="1" ht="14.1" customHeight="1">
      <c r="B1618" s="951"/>
      <c r="C1618" s="729" t="s">
        <v>227</v>
      </c>
      <c r="D1618" s="983"/>
      <c r="E1618" s="984"/>
      <c r="F1618" s="732"/>
      <c r="G1618" s="985"/>
      <c r="H1618" s="985"/>
      <c r="I1618" s="729" t="s">
        <v>60</v>
      </c>
      <c r="J1618" s="729" t="s">
        <v>61</v>
      </c>
      <c r="K1618" s="729" t="s">
        <v>61</v>
      </c>
      <c r="L1618" s="598" t="s">
        <v>421</v>
      </c>
      <c r="M1618" s="598"/>
      <c r="N1618" s="598" t="s">
        <v>423</v>
      </c>
      <c r="O1618" s="302"/>
      <c r="Q1618" s="595"/>
      <c r="R1618" s="484"/>
      <c r="S1618" s="595"/>
      <c r="T1618" s="595"/>
      <c r="U1618" s="595"/>
    </row>
    <row r="1619" spans="2:21" s="298" customFormat="1" ht="14.1" customHeight="1">
      <c r="B1619" s="951"/>
      <c r="C1619" s="600"/>
      <c r="D1619" s="969"/>
      <c r="E1619" s="970"/>
      <c r="F1619" s="601"/>
      <c r="G1619" s="973"/>
      <c r="H1619" s="973"/>
      <c r="I1619" s="600" t="s">
        <v>61</v>
      </c>
      <c r="J1619" s="602"/>
      <c r="K1619" s="602"/>
      <c r="L1619" s="602"/>
      <c r="M1619" s="602"/>
      <c r="N1619" s="600" t="s">
        <v>61</v>
      </c>
      <c r="O1619" s="302"/>
      <c r="Q1619" s="595"/>
      <c r="R1619" s="484"/>
      <c r="S1619" s="595"/>
      <c r="T1619" s="595"/>
      <c r="U1619" s="595"/>
    </row>
    <row r="1620" spans="2:21" s="298" customFormat="1" ht="14.1" customHeight="1">
      <c r="B1620" s="951"/>
      <c r="C1620" s="653" t="s">
        <v>213</v>
      </c>
      <c r="D1620" s="733" t="s">
        <v>62</v>
      </c>
      <c r="E1620" s="710" t="s">
        <v>293</v>
      </c>
      <c r="F1620" s="710"/>
      <c r="G1620" s="605" t="s">
        <v>50</v>
      </c>
      <c r="H1620" s="711">
        <v>1</v>
      </c>
      <c r="I1620" s="491">
        <f>'UPH-TNG'!$I$145</f>
        <v>8000</v>
      </c>
      <c r="J1620" s="491">
        <f t="shared" ref="J1620:J1623" si="104">ROUND(H1620*I1620,2)</f>
        <v>8000</v>
      </c>
      <c r="K1620" s="535"/>
      <c r="L1620" s="501">
        <v>0</v>
      </c>
      <c r="M1620" s="494"/>
      <c r="N1620" s="491">
        <f t="shared" ref="N1620:N1630" si="105">L1620*J1620</f>
        <v>0</v>
      </c>
      <c r="O1620" s="302"/>
      <c r="Q1620" s="595"/>
      <c r="R1620" s="484"/>
      <c r="S1620" s="595"/>
      <c r="T1620" s="595"/>
      <c r="U1620" s="595"/>
    </row>
    <row r="1621" spans="2:21" s="298" customFormat="1" ht="14.1" customHeight="1">
      <c r="B1621" s="951"/>
      <c r="C1621" s="730"/>
      <c r="D1621" s="730"/>
      <c r="E1621" s="722" t="s">
        <v>365</v>
      </c>
      <c r="F1621" s="710"/>
      <c r="G1621" s="605" t="s">
        <v>32</v>
      </c>
      <c r="H1621" s="711">
        <v>10</v>
      </c>
      <c r="I1621" s="491">
        <f>'UPH-TNG'!$I$68</f>
        <v>10000</v>
      </c>
      <c r="J1621" s="491">
        <f t="shared" si="104"/>
        <v>100000</v>
      </c>
      <c r="K1621" s="534"/>
      <c r="L1621" s="501">
        <f>$L$1580</f>
        <v>0.85599999999999998</v>
      </c>
      <c r="M1621" s="494" t="s">
        <v>429</v>
      </c>
      <c r="N1621" s="491">
        <f t="shared" si="105"/>
        <v>85600</v>
      </c>
      <c r="O1621" s="302"/>
      <c r="Q1621" s="595"/>
      <c r="R1621" s="484"/>
      <c r="S1621" s="595"/>
      <c r="T1621" s="595"/>
      <c r="U1621" s="595"/>
    </row>
    <row r="1622" spans="2:21" s="298" customFormat="1" ht="14.1" customHeight="1">
      <c r="B1622" s="951"/>
      <c r="C1622" s="730"/>
      <c r="D1622" s="730"/>
      <c r="E1622" s="727" t="s">
        <v>294</v>
      </c>
      <c r="F1622" s="727"/>
      <c r="G1622" s="596" t="s">
        <v>45</v>
      </c>
      <c r="H1622" s="728">
        <v>1</v>
      </c>
      <c r="I1622" s="492">
        <f>'UPH-TNG'!$I$146</f>
        <v>2500</v>
      </c>
      <c r="J1622" s="492">
        <f t="shared" si="104"/>
        <v>2500</v>
      </c>
      <c r="K1622" s="534"/>
      <c r="L1622" s="501">
        <v>0</v>
      </c>
      <c r="M1622" s="494"/>
      <c r="N1622" s="491">
        <f t="shared" si="105"/>
        <v>0</v>
      </c>
      <c r="O1622" s="302"/>
      <c r="Q1622" s="595"/>
      <c r="R1622" s="484"/>
      <c r="S1622" s="595"/>
      <c r="T1622" s="595"/>
      <c r="U1622" s="595"/>
    </row>
    <row r="1623" spans="2:21" s="298" customFormat="1" ht="14.1" customHeight="1">
      <c r="B1623" s="951"/>
      <c r="C1623" s="730"/>
      <c r="D1623" s="730"/>
      <c r="E1623" s="710" t="s">
        <v>295</v>
      </c>
      <c r="F1623" s="710"/>
      <c r="G1623" s="605" t="s">
        <v>45</v>
      </c>
      <c r="H1623" s="711">
        <v>1</v>
      </c>
      <c r="I1623" s="491">
        <f>'UPH-TNG'!$I$147</f>
        <v>2000</v>
      </c>
      <c r="J1623" s="491">
        <f t="shared" si="104"/>
        <v>2000</v>
      </c>
      <c r="K1623" s="511"/>
      <c r="L1623" s="501">
        <v>0</v>
      </c>
      <c r="M1623" s="494"/>
      <c r="N1623" s="491">
        <f t="shared" si="105"/>
        <v>0</v>
      </c>
      <c r="O1623" s="302"/>
      <c r="Q1623" s="595"/>
      <c r="R1623" s="484"/>
      <c r="S1623" s="595"/>
      <c r="T1623" s="595"/>
      <c r="U1623" s="595"/>
    </row>
    <row r="1624" spans="2:21" s="298" customFormat="1" ht="14.1" customHeight="1">
      <c r="B1624" s="951"/>
      <c r="C1624" s="729"/>
      <c r="D1624" s="730"/>
      <c r="E1624" s="724"/>
      <c r="F1624" s="725"/>
      <c r="G1624" s="696"/>
      <c r="H1624" s="726"/>
      <c r="I1624" s="533"/>
      <c r="J1624" s="527"/>
      <c r="K1624" s="522">
        <f>SUM(J1620:J1623)</f>
        <v>112500</v>
      </c>
      <c r="L1624" s="493"/>
      <c r="M1624" s="494"/>
      <c r="N1624" s="491">
        <f t="shared" si="105"/>
        <v>0</v>
      </c>
      <c r="O1624" s="302"/>
      <c r="Q1624" s="595"/>
      <c r="R1624" s="484"/>
      <c r="S1624" s="595"/>
      <c r="T1624" s="595"/>
      <c r="U1624" s="595"/>
    </row>
    <row r="1625" spans="2:21" s="298" customFormat="1" ht="14.1" customHeight="1">
      <c r="B1625" s="951"/>
      <c r="C1625" s="653" t="s">
        <v>214</v>
      </c>
      <c r="D1625" s="733" t="s">
        <v>63</v>
      </c>
      <c r="E1625" s="722" t="s">
        <v>64</v>
      </c>
      <c r="F1625" s="722"/>
      <c r="G1625" s="698" t="s">
        <v>66</v>
      </c>
      <c r="H1625" s="723">
        <v>0.08</v>
      </c>
      <c r="I1625" s="617">
        <f>'UPH-TNG'!$I$15</f>
        <v>92000</v>
      </c>
      <c r="J1625" s="522">
        <f>ROUND(H1625*I1625,2)</f>
        <v>7360</v>
      </c>
      <c r="K1625" s="535"/>
      <c r="L1625" s="493">
        <v>1</v>
      </c>
      <c r="M1625" s="493" t="s">
        <v>422</v>
      </c>
      <c r="N1625" s="491">
        <f t="shared" si="105"/>
        <v>7360</v>
      </c>
      <c r="O1625" s="302"/>
      <c r="Q1625" s="595"/>
      <c r="R1625" s="484"/>
      <c r="S1625" s="595"/>
      <c r="T1625" s="595"/>
      <c r="U1625" s="595"/>
    </row>
    <row r="1626" spans="2:21" s="298" customFormat="1" ht="14.1" customHeight="1">
      <c r="B1626" s="951"/>
      <c r="C1626" s="730"/>
      <c r="D1626" s="730"/>
      <c r="E1626" s="722" t="s">
        <v>5</v>
      </c>
      <c r="F1626" s="722"/>
      <c r="G1626" s="698" t="s">
        <v>66</v>
      </c>
      <c r="H1626" s="723">
        <v>0.1</v>
      </c>
      <c r="I1626" s="522">
        <f>'UPH-TNG'!$I$26</f>
        <v>95000</v>
      </c>
      <c r="J1626" s="522">
        <f>ROUND(H1626*I1626,2)</f>
        <v>9500</v>
      </c>
      <c r="K1626" s="534"/>
      <c r="L1626" s="493">
        <v>1</v>
      </c>
      <c r="M1626" s="493" t="s">
        <v>422</v>
      </c>
      <c r="N1626" s="491">
        <f t="shared" si="105"/>
        <v>9500</v>
      </c>
      <c r="O1626" s="302"/>
      <c r="Q1626" s="595"/>
      <c r="R1626" s="484"/>
      <c r="S1626" s="595"/>
      <c r="T1626" s="595"/>
      <c r="U1626" s="595"/>
    </row>
    <row r="1627" spans="2:21" s="298" customFormat="1" ht="14.1" customHeight="1">
      <c r="B1627" s="951"/>
      <c r="C1627" s="730"/>
      <c r="D1627" s="730"/>
      <c r="E1627" s="722" t="s">
        <v>65</v>
      </c>
      <c r="F1627" s="722"/>
      <c r="G1627" s="698" t="s">
        <v>66</v>
      </c>
      <c r="H1627" s="723">
        <v>0.05</v>
      </c>
      <c r="I1627" s="617">
        <f>'UPH-TNG'!$I$20</f>
        <v>98000</v>
      </c>
      <c r="J1627" s="522">
        <f>ROUND(H1627*I1627,2)</f>
        <v>4900</v>
      </c>
      <c r="K1627" s="534"/>
      <c r="L1627" s="493">
        <v>1</v>
      </c>
      <c r="M1627" s="493" t="s">
        <v>422</v>
      </c>
      <c r="N1627" s="491">
        <f t="shared" si="105"/>
        <v>4900</v>
      </c>
      <c r="O1627" s="302"/>
      <c r="Q1627" s="595"/>
      <c r="R1627" s="484"/>
      <c r="S1627" s="595"/>
      <c r="T1627" s="595"/>
      <c r="U1627" s="595"/>
    </row>
    <row r="1628" spans="2:21" s="298" customFormat="1" ht="14.1" customHeight="1">
      <c r="B1628" s="951"/>
      <c r="C1628" s="600"/>
      <c r="D1628" s="602"/>
      <c r="E1628" s="695"/>
      <c r="F1628" s="691"/>
      <c r="G1628" s="696"/>
      <c r="H1628" s="697"/>
      <c r="I1628" s="533"/>
      <c r="J1628" s="527"/>
      <c r="K1628" s="528">
        <f>SUM(J1625:J1627)</f>
        <v>21760</v>
      </c>
      <c r="L1628" s="493"/>
      <c r="M1628" s="494"/>
      <c r="N1628" s="491">
        <f t="shared" si="105"/>
        <v>0</v>
      </c>
      <c r="O1628" s="302"/>
      <c r="Q1628" s="595"/>
      <c r="R1628" s="484"/>
      <c r="S1628" s="595"/>
      <c r="T1628" s="595"/>
      <c r="U1628" s="595"/>
    </row>
    <row r="1629" spans="2:21" s="298" customFormat="1" ht="14.1" customHeight="1">
      <c r="B1629" s="951"/>
      <c r="C1629" s="729" t="s">
        <v>215</v>
      </c>
      <c r="D1629" s="733" t="s">
        <v>212</v>
      </c>
      <c r="E1629" s="687"/>
      <c r="F1629" s="687"/>
      <c r="G1629" s="698"/>
      <c r="H1629" s="699"/>
      <c r="I1629" s="700"/>
      <c r="J1629" s="522"/>
      <c r="K1629" s="535"/>
      <c r="L1629" s="493"/>
      <c r="M1629" s="494"/>
      <c r="N1629" s="491">
        <f t="shared" si="105"/>
        <v>0</v>
      </c>
      <c r="O1629" s="302"/>
      <c r="Q1629" s="595"/>
      <c r="R1629" s="484"/>
      <c r="S1629" s="595"/>
      <c r="T1629" s="595"/>
      <c r="U1629" s="595"/>
    </row>
    <row r="1630" spans="2:21" s="298" customFormat="1" ht="14.1" customHeight="1">
      <c r="B1630" s="951"/>
      <c r="C1630" s="600"/>
      <c r="D1630" s="602"/>
      <c r="E1630" s="695"/>
      <c r="F1630" s="691"/>
      <c r="G1630" s="696"/>
      <c r="H1630" s="697"/>
      <c r="I1630" s="701"/>
      <c r="J1630" s="527"/>
      <c r="K1630" s="528">
        <f>SUM(J1629:J1629)</f>
        <v>0</v>
      </c>
      <c r="L1630" s="493"/>
      <c r="M1630" s="494"/>
      <c r="N1630" s="491">
        <f t="shared" si="105"/>
        <v>0</v>
      </c>
      <c r="O1630" s="302"/>
      <c r="Q1630" s="595"/>
      <c r="R1630" s="484"/>
      <c r="S1630" s="595"/>
      <c r="T1630" s="595"/>
      <c r="U1630" s="595"/>
    </row>
    <row r="1631" spans="2:21" s="298" customFormat="1" ht="14.1" customHeight="1">
      <c r="B1631" s="951"/>
      <c r="C1631" s="600" t="s">
        <v>216</v>
      </c>
      <c r="D1631" s="619" t="s">
        <v>219</v>
      </c>
      <c r="E1631" s="691"/>
      <c r="F1631" s="691"/>
      <c r="G1631" s="696"/>
      <c r="H1631" s="697"/>
      <c r="I1631" s="701"/>
      <c r="J1631" s="529" t="s">
        <v>220</v>
      </c>
      <c r="K1631" s="528">
        <f>K1624+K1628+K1630</f>
        <v>134260</v>
      </c>
      <c r="L1631" s="620">
        <f>N1631/K1631</f>
        <v>0.79964248473111876</v>
      </c>
      <c r="M1631" s="497"/>
      <c r="N1631" s="498">
        <f>SUM(N1620:N1630)</f>
        <v>107360</v>
      </c>
      <c r="O1631" s="302"/>
      <c r="Q1631" s="595"/>
      <c r="R1631" s="484"/>
      <c r="S1631" s="595"/>
      <c r="T1631" s="595"/>
      <c r="U1631" s="595"/>
    </row>
    <row r="1632" spans="2:21" s="298" customFormat="1" ht="14.1" customHeight="1">
      <c r="B1632" s="951"/>
      <c r="C1632" s="600" t="s">
        <v>217</v>
      </c>
      <c r="D1632" s="619" t="s">
        <v>221</v>
      </c>
      <c r="E1632" s="691"/>
      <c r="F1632" s="499">
        <f>$F$48</f>
        <v>0.1</v>
      </c>
      <c r="G1632" s="605" t="s">
        <v>168</v>
      </c>
      <c r="H1632" s="499">
        <f>$H$48</f>
        <v>0.02</v>
      </c>
      <c r="I1632" s="702" t="s">
        <v>167</v>
      </c>
      <c r="J1632" s="528" t="s">
        <v>216</v>
      </c>
      <c r="K1632" s="530">
        <f>ROUND((K1631*(F1632+H1632)),2)</f>
        <v>16111.2</v>
      </c>
      <c r="L1632" s="494"/>
      <c r="M1632" s="494"/>
      <c r="N1632" s="494"/>
      <c r="O1632" s="302"/>
      <c r="Q1632" s="595"/>
      <c r="R1632" s="484"/>
      <c r="S1632" s="595"/>
      <c r="T1632" s="595"/>
      <c r="U1632" s="595"/>
    </row>
    <row r="1633" spans="2:22" s="298" customFormat="1" ht="14.1" customHeight="1">
      <c r="B1633" s="951"/>
      <c r="C1633" s="622" t="s">
        <v>222</v>
      </c>
      <c r="D1633" s="703" t="s">
        <v>76</v>
      </c>
      <c r="E1633" s="704"/>
      <c r="F1633" s="704"/>
      <c r="G1633" s="704"/>
      <c r="H1633" s="705"/>
      <c r="I1633" s="704"/>
      <c r="J1633" s="706" t="s">
        <v>226</v>
      </c>
      <c r="K1633" s="707">
        <f>SUM(K1631:K1632)</f>
        <v>150371.20000000001</v>
      </c>
      <c r="L1633" s="620"/>
      <c r="M1633" s="626"/>
      <c r="N1633" s="635"/>
      <c r="O1633" s="302"/>
      <c r="Q1633" s="595"/>
      <c r="R1633" s="484"/>
      <c r="S1633" s="595"/>
      <c r="T1633" s="595"/>
      <c r="U1633" s="595"/>
    </row>
    <row r="1634" spans="2:22" s="298" customFormat="1" ht="14.1" customHeight="1">
      <c r="B1634" s="950"/>
      <c r="C1634" s="587"/>
      <c r="H1634" s="302"/>
      <c r="J1634" s="302"/>
      <c r="O1634" s="302"/>
      <c r="Q1634" s="595"/>
      <c r="R1634" s="484"/>
      <c r="S1634" s="595"/>
      <c r="T1634" s="595"/>
      <c r="U1634" s="595"/>
    </row>
    <row r="1635" spans="2:22" s="298" customFormat="1" ht="14.1" customHeight="1">
      <c r="B1635" s="951">
        <f>B1615+1</f>
        <v>83</v>
      </c>
      <c r="C1635" s="488"/>
      <c r="D1635" s="590" t="s">
        <v>367</v>
      </c>
      <c r="E1635" s="485"/>
      <c r="F1635" s="485"/>
      <c r="G1635" s="485"/>
      <c r="H1635" s="488"/>
      <c r="I1635" s="485"/>
      <c r="J1635" s="485"/>
      <c r="K1635" s="591" t="s">
        <v>239</v>
      </c>
      <c r="L1635" s="591"/>
      <c r="M1635" s="591"/>
      <c r="N1635" s="591"/>
      <c r="O1635" s="302" t="str">
        <f>D1636</f>
        <v>ttk</v>
      </c>
      <c r="P1635" s="592">
        <f>K1653</f>
        <v>318371.20000000001</v>
      </c>
      <c r="Q1635" s="593">
        <f>L1651</f>
        <v>0.87230000703581223</v>
      </c>
      <c r="R1635" s="484">
        <f>N1651</f>
        <v>247960</v>
      </c>
      <c r="S1635" s="594"/>
      <c r="T1635" s="484"/>
      <c r="U1635" s="593"/>
    </row>
    <row r="1636" spans="2:22" s="298" customFormat="1" ht="14.1" customHeight="1">
      <c r="B1636" s="951"/>
      <c r="C1636" s="488"/>
      <c r="D1636" s="485" t="s">
        <v>140</v>
      </c>
      <c r="E1636" s="485"/>
      <c r="F1636" s="485"/>
      <c r="G1636" s="485"/>
      <c r="H1636" s="488"/>
      <c r="I1636" s="485"/>
      <c r="J1636" s="485"/>
      <c r="K1636" s="485"/>
      <c r="L1636" s="485"/>
      <c r="M1636" s="485"/>
      <c r="N1636" s="485"/>
      <c r="O1636" s="302"/>
      <c r="Q1636" s="595"/>
      <c r="R1636" s="484"/>
      <c r="S1636" s="595"/>
      <c r="T1636" s="595"/>
      <c r="U1636" s="595"/>
    </row>
    <row r="1637" spans="2:22" s="298" customFormat="1" ht="14.1" customHeight="1">
      <c r="B1637" s="951"/>
      <c r="C1637" s="653"/>
      <c r="D1637" s="975" t="s">
        <v>55</v>
      </c>
      <c r="E1637" s="976"/>
      <c r="F1637" s="652"/>
      <c r="G1637" s="974" t="s">
        <v>56</v>
      </c>
      <c r="H1637" s="974" t="s">
        <v>57</v>
      </c>
      <c r="I1637" s="653" t="s">
        <v>58</v>
      </c>
      <c r="J1637" s="653" t="s">
        <v>59</v>
      </c>
      <c r="K1637" s="653" t="s">
        <v>102</v>
      </c>
      <c r="L1637" s="596" t="s">
        <v>418</v>
      </c>
      <c r="M1637" s="596" t="s">
        <v>419</v>
      </c>
      <c r="N1637" s="596" t="s">
        <v>59</v>
      </c>
      <c r="O1637" s="302"/>
      <c r="Q1637" s="595"/>
      <c r="R1637" s="484"/>
      <c r="S1637" s="595"/>
      <c r="T1637" s="595"/>
      <c r="U1637" s="595"/>
    </row>
    <row r="1638" spans="2:22" s="298" customFormat="1" ht="14.1" customHeight="1">
      <c r="B1638" s="951"/>
      <c r="C1638" s="729" t="s">
        <v>227</v>
      </c>
      <c r="D1638" s="983"/>
      <c r="E1638" s="984"/>
      <c r="F1638" s="732"/>
      <c r="G1638" s="985"/>
      <c r="H1638" s="985"/>
      <c r="I1638" s="729" t="s">
        <v>60</v>
      </c>
      <c r="J1638" s="729" t="s">
        <v>61</v>
      </c>
      <c r="K1638" s="729" t="s">
        <v>61</v>
      </c>
      <c r="L1638" s="598" t="s">
        <v>421</v>
      </c>
      <c r="M1638" s="598"/>
      <c r="N1638" s="598" t="s">
        <v>423</v>
      </c>
      <c r="O1638" s="302"/>
      <c r="Q1638" s="595"/>
      <c r="R1638" s="484"/>
      <c r="S1638" s="595"/>
      <c r="T1638" s="595"/>
      <c r="U1638" s="595"/>
    </row>
    <row r="1639" spans="2:22" s="298" customFormat="1" ht="14.1" customHeight="1">
      <c r="B1639" s="951"/>
      <c r="C1639" s="600"/>
      <c r="D1639" s="969"/>
      <c r="E1639" s="970"/>
      <c r="F1639" s="601"/>
      <c r="G1639" s="973"/>
      <c r="H1639" s="973"/>
      <c r="I1639" s="600" t="s">
        <v>61</v>
      </c>
      <c r="J1639" s="602"/>
      <c r="K1639" s="602"/>
      <c r="L1639" s="602"/>
      <c r="M1639" s="602"/>
      <c r="N1639" s="600" t="s">
        <v>61</v>
      </c>
      <c r="O1639" s="302"/>
      <c r="Q1639" s="595"/>
      <c r="R1639" s="484"/>
      <c r="S1639" s="595"/>
      <c r="T1639" s="595"/>
      <c r="U1639" s="595"/>
    </row>
    <row r="1640" spans="2:22" s="298" customFormat="1" ht="14.1" customHeight="1">
      <c r="B1640" s="951"/>
      <c r="C1640" s="653" t="s">
        <v>213</v>
      </c>
      <c r="D1640" s="733" t="s">
        <v>62</v>
      </c>
      <c r="E1640" s="710" t="s">
        <v>293</v>
      </c>
      <c r="F1640" s="710"/>
      <c r="G1640" s="605" t="s">
        <v>50</v>
      </c>
      <c r="H1640" s="711">
        <v>1</v>
      </c>
      <c r="I1640" s="491">
        <f>'UPH-TNG'!$I$145</f>
        <v>8000</v>
      </c>
      <c r="J1640" s="491">
        <f t="shared" ref="J1640:J1643" si="106">ROUND(H1640*I1640,2)</f>
        <v>8000</v>
      </c>
      <c r="K1640" s="535"/>
      <c r="L1640" s="501">
        <v>0</v>
      </c>
      <c r="M1640" s="494"/>
      <c r="N1640" s="491">
        <f t="shared" ref="N1640:N1650" si="107">L1640*J1640</f>
        <v>0</v>
      </c>
      <c r="O1640" s="302"/>
      <c r="Q1640" s="595"/>
      <c r="R1640" s="484"/>
      <c r="S1640" s="595"/>
      <c r="T1640" s="595"/>
      <c r="U1640" s="595"/>
      <c r="V1640" s="298">
        <v>850000</v>
      </c>
    </row>
    <row r="1641" spans="2:22" s="298" customFormat="1" ht="14.1" customHeight="1">
      <c r="B1641" s="951"/>
      <c r="C1641" s="730"/>
      <c r="D1641" s="730"/>
      <c r="E1641" s="722" t="s">
        <v>364</v>
      </c>
      <c r="F1641" s="710"/>
      <c r="G1641" s="605" t="s">
        <v>32</v>
      </c>
      <c r="H1641" s="711">
        <v>10</v>
      </c>
      <c r="I1641" s="491">
        <f>'UPH-TNG'!I69</f>
        <v>25000</v>
      </c>
      <c r="J1641" s="491">
        <f t="shared" si="106"/>
        <v>250000</v>
      </c>
      <c r="K1641" s="534"/>
      <c r="L1641" s="501">
        <v>0.90480000000000005</v>
      </c>
      <c r="M1641" s="494" t="s">
        <v>429</v>
      </c>
      <c r="N1641" s="491">
        <f t="shared" si="107"/>
        <v>226200</v>
      </c>
      <c r="O1641" s="302"/>
      <c r="P1641" s="298">
        <f>900000</f>
        <v>900000</v>
      </c>
      <c r="Q1641" s="595">
        <f>P1641/50</f>
        <v>18000</v>
      </c>
      <c r="R1641" s="484"/>
      <c r="S1641" s="595"/>
      <c r="T1641" s="595"/>
      <c r="U1641" s="595"/>
      <c r="V1641" s="298">
        <f>V1640/50</f>
        <v>17000</v>
      </c>
    </row>
    <row r="1642" spans="2:22" s="298" customFormat="1" ht="14.1" customHeight="1">
      <c r="B1642" s="951"/>
      <c r="C1642" s="730"/>
      <c r="D1642" s="730"/>
      <c r="E1642" s="727" t="s">
        <v>294</v>
      </c>
      <c r="F1642" s="727"/>
      <c r="G1642" s="596" t="s">
        <v>45</v>
      </c>
      <c r="H1642" s="728">
        <v>1</v>
      </c>
      <c r="I1642" s="492">
        <f>'UPH-TNG'!$I$146</f>
        <v>2500</v>
      </c>
      <c r="J1642" s="492">
        <f t="shared" si="106"/>
        <v>2500</v>
      </c>
      <c r="K1642" s="534"/>
      <c r="L1642" s="501">
        <v>0</v>
      </c>
      <c r="M1642" s="494"/>
      <c r="N1642" s="491">
        <f t="shared" si="107"/>
        <v>0</v>
      </c>
      <c r="O1642" s="302"/>
      <c r="Q1642" s="595"/>
      <c r="R1642" s="484"/>
      <c r="S1642" s="595"/>
      <c r="T1642" s="595"/>
      <c r="U1642" s="595"/>
    </row>
    <row r="1643" spans="2:22" s="298" customFormat="1" ht="14.1" customHeight="1">
      <c r="B1643" s="951"/>
      <c r="C1643" s="730"/>
      <c r="D1643" s="730"/>
      <c r="E1643" s="710" t="s">
        <v>295</v>
      </c>
      <c r="F1643" s="710"/>
      <c r="G1643" s="605" t="s">
        <v>45</v>
      </c>
      <c r="H1643" s="711">
        <v>1</v>
      </c>
      <c r="I1643" s="491">
        <f>'UPH-TNG'!$I$147</f>
        <v>2000</v>
      </c>
      <c r="J1643" s="491">
        <f t="shared" si="106"/>
        <v>2000</v>
      </c>
      <c r="K1643" s="511"/>
      <c r="L1643" s="501">
        <v>0</v>
      </c>
      <c r="M1643" s="494"/>
      <c r="N1643" s="491">
        <f t="shared" si="107"/>
        <v>0</v>
      </c>
      <c r="O1643" s="302"/>
      <c r="Q1643" s="595"/>
      <c r="R1643" s="484"/>
      <c r="S1643" s="595"/>
      <c r="T1643" s="595"/>
      <c r="U1643" s="595"/>
    </row>
    <row r="1644" spans="2:22" s="298" customFormat="1" ht="14.1" customHeight="1">
      <c r="B1644" s="951"/>
      <c r="C1644" s="729"/>
      <c r="D1644" s="730"/>
      <c r="E1644" s="724"/>
      <c r="F1644" s="725"/>
      <c r="G1644" s="696"/>
      <c r="H1644" s="726"/>
      <c r="I1644" s="533"/>
      <c r="J1644" s="527"/>
      <c r="K1644" s="522">
        <f>SUM(J1640:J1643)</f>
        <v>262500</v>
      </c>
      <c r="L1644" s="493"/>
      <c r="M1644" s="494"/>
      <c r="N1644" s="491">
        <f t="shared" si="107"/>
        <v>0</v>
      </c>
      <c r="O1644" s="302"/>
      <c r="Q1644" s="595"/>
      <c r="R1644" s="484"/>
      <c r="S1644" s="595"/>
      <c r="T1644" s="595"/>
      <c r="U1644" s="595"/>
    </row>
    <row r="1645" spans="2:22" s="298" customFormat="1" ht="14.1" customHeight="1">
      <c r="B1645" s="951"/>
      <c r="C1645" s="653" t="s">
        <v>214</v>
      </c>
      <c r="D1645" s="733" t="s">
        <v>63</v>
      </c>
      <c r="E1645" s="722" t="s">
        <v>64</v>
      </c>
      <c r="F1645" s="722"/>
      <c r="G1645" s="698" t="s">
        <v>66</v>
      </c>
      <c r="H1645" s="723">
        <v>0.08</v>
      </c>
      <c r="I1645" s="617">
        <f>'UPH-TNG'!$I$15</f>
        <v>92000</v>
      </c>
      <c r="J1645" s="522">
        <f>ROUND(H1645*I1645,2)</f>
        <v>7360</v>
      </c>
      <c r="K1645" s="535"/>
      <c r="L1645" s="493">
        <v>1</v>
      </c>
      <c r="M1645" s="493" t="s">
        <v>422</v>
      </c>
      <c r="N1645" s="491">
        <f t="shared" si="107"/>
        <v>7360</v>
      </c>
      <c r="O1645" s="302"/>
      <c r="Q1645" s="595"/>
      <c r="R1645" s="484"/>
      <c r="S1645" s="595"/>
      <c r="T1645" s="595"/>
      <c r="U1645" s="595"/>
    </row>
    <row r="1646" spans="2:22" s="298" customFormat="1" ht="14.1" customHeight="1">
      <c r="B1646" s="951"/>
      <c r="C1646" s="730"/>
      <c r="D1646" s="730"/>
      <c r="E1646" s="722" t="s">
        <v>5</v>
      </c>
      <c r="F1646" s="722"/>
      <c r="G1646" s="698" t="s">
        <v>66</v>
      </c>
      <c r="H1646" s="723">
        <v>0.1</v>
      </c>
      <c r="I1646" s="522">
        <f>'UPH-TNG'!$I$26</f>
        <v>95000</v>
      </c>
      <c r="J1646" s="522">
        <f>ROUND(H1646*I1646,2)</f>
        <v>9500</v>
      </c>
      <c r="K1646" s="534"/>
      <c r="L1646" s="493">
        <v>1</v>
      </c>
      <c r="M1646" s="493" t="s">
        <v>422</v>
      </c>
      <c r="N1646" s="491">
        <f t="shared" si="107"/>
        <v>9500</v>
      </c>
      <c r="O1646" s="302"/>
      <c r="Q1646" s="595"/>
      <c r="R1646" s="484"/>
      <c r="S1646" s="595"/>
      <c r="T1646" s="595"/>
      <c r="U1646" s="595"/>
    </row>
    <row r="1647" spans="2:22" s="298" customFormat="1" ht="14.1" customHeight="1">
      <c r="B1647" s="951"/>
      <c r="C1647" s="730"/>
      <c r="D1647" s="730"/>
      <c r="E1647" s="722" t="s">
        <v>65</v>
      </c>
      <c r="F1647" s="722"/>
      <c r="G1647" s="698" t="s">
        <v>66</v>
      </c>
      <c r="H1647" s="723">
        <v>0.05</v>
      </c>
      <c r="I1647" s="617">
        <f>'UPH-TNG'!$I$20</f>
        <v>98000</v>
      </c>
      <c r="J1647" s="522">
        <f>ROUND(H1647*I1647,2)</f>
        <v>4900</v>
      </c>
      <c r="K1647" s="534"/>
      <c r="L1647" s="493">
        <v>1</v>
      </c>
      <c r="M1647" s="493" t="s">
        <v>422</v>
      </c>
      <c r="N1647" s="491">
        <f t="shared" si="107"/>
        <v>4900</v>
      </c>
      <c r="O1647" s="302"/>
      <c r="Q1647" s="595"/>
      <c r="R1647" s="484"/>
      <c r="S1647" s="595"/>
      <c r="T1647" s="595"/>
      <c r="U1647" s="595"/>
    </row>
    <row r="1648" spans="2:22" s="298" customFormat="1" ht="14.1" customHeight="1">
      <c r="B1648" s="951"/>
      <c r="C1648" s="600"/>
      <c r="D1648" s="602"/>
      <c r="E1648" s="695"/>
      <c r="F1648" s="691"/>
      <c r="G1648" s="696"/>
      <c r="H1648" s="697"/>
      <c r="I1648" s="533"/>
      <c r="J1648" s="527"/>
      <c r="K1648" s="528">
        <f>SUM(J1645:J1647)</f>
        <v>21760</v>
      </c>
      <c r="L1648" s="493"/>
      <c r="M1648" s="494"/>
      <c r="N1648" s="491">
        <f t="shared" si="107"/>
        <v>0</v>
      </c>
      <c r="O1648" s="302"/>
      <c r="Q1648" s="595"/>
      <c r="R1648" s="484"/>
      <c r="S1648" s="595"/>
      <c r="T1648" s="595"/>
      <c r="U1648" s="595"/>
    </row>
    <row r="1649" spans="2:21" s="298" customFormat="1" ht="14.1" customHeight="1">
      <c r="B1649" s="951"/>
      <c r="C1649" s="729" t="s">
        <v>215</v>
      </c>
      <c r="D1649" s="733" t="s">
        <v>212</v>
      </c>
      <c r="E1649" s="687"/>
      <c r="F1649" s="687"/>
      <c r="G1649" s="698"/>
      <c r="H1649" s="699"/>
      <c r="I1649" s="700"/>
      <c r="J1649" s="522"/>
      <c r="K1649" s="535"/>
      <c r="L1649" s="493"/>
      <c r="M1649" s="494"/>
      <c r="N1649" s="491">
        <f t="shared" si="107"/>
        <v>0</v>
      </c>
      <c r="O1649" s="302"/>
      <c r="Q1649" s="595"/>
      <c r="R1649" s="484"/>
      <c r="S1649" s="595"/>
      <c r="T1649" s="595"/>
      <c r="U1649" s="595"/>
    </row>
    <row r="1650" spans="2:21" s="298" customFormat="1" ht="14.1" customHeight="1">
      <c r="B1650" s="951"/>
      <c r="C1650" s="600"/>
      <c r="D1650" s="602"/>
      <c r="E1650" s="695"/>
      <c r="F1650" s="691"/>
      <c r="G1650" s="696"/>
      <c r="H1650" s="697"/>
      <c r="I1650" s="701"/>
      <c r="J1650" s="527"/>
      <c r="K1650" s="528">
        <f>SUM(J1649:J1649)</f>
        <v>0</v>
      </c>
      <c r="L1650" s="493"/>
      <c r="M1650" s="494"/>
      <c r="N1650" s="491">
        <f t="shared" si="107"/>
        <v>0</v>
      </c>
      <c r="O1650" s="302"/>
      <c r="Q1650" s="595"/>
      <c r="R1650" s="484"/>
      <c r="S1650" s="595"/>
      <c r="T1650" s="595"/>
      <c r="U1650" s="595"/>
    </row>
    <row r="1651" spans="2:21" s="298" customFormat="1" ht="14.1" customHeight="1">
      <c r="B1651" s="951"/>
      <c r="C1651" s="600" t="s">
        <v>216</v>
      </c>
      <c r="D1651" s="619" t="s">
        <v>219</v>
      </c>
      <c r="E1651" s="691"/>
      <c r="F1651" s="691"/>
      <c r="G1651" s="696"/>
      <c r="H1651" s="697"/>
      <c r="I1651" s="701"/>
      <c r="J1651" s="529" t="s">
        <v>220</v>
      </c>
      <c r="K1651" s="528">
        <f>K1644+K1648+K1650</f>
        <v>284260</v>
      </c>
      <c r="L1651" s="620">
        <f>N1651/K1651</f>
        <v>0.87230000703581223</v>
      </c>
      <c r="M1651" s="497"/>
      <c r="N1651" s="498">
        <f>SUM(N1640:N1650)</f>
        <v>247960</v>
      </c>
      <c r="O1651" s="302"/>
      <c r="Q1651" s="595"/>
      <c r="R1651" s="484"/>
      <c r="S1651" s="595"/>
      <c r="T1651" s="595"/>
      <c r="U1651" s="595"/>
    </row>
    <row r="1652" spans="2:21" s="298" customFormat="1" ht="14.1" customHeight="1">
      <c r="B1652" s="951"/>
      <c r="C1652" s="600" t="s">
        <v>217</v>
      </c>
      <c r="D1652" s="619" t="s">
        <v>221</v>
      </c>
      <c r="E1652" s="691"/>
      <c r="F1652" s="499">
        <f>$F$48</f>
        <v>0.1</v>
      </c>
      <c r="G1652" s="605" t="s">
        <v>168</v>
      </c>
      <c r="H1652" s="499">
        <f>$H$48</f>
        <v>0.02</v>
      </c>
      <c r="I1652" s="702" t="s">
        <v>167</v>
      </c>
      <c r="J1652" s="528" t="s">
        <v>216</v>
      </c>
      <c r="K1652" s="530">
        <f>ROUND((K1651*(F1652+H1652)),2)</f>
        <v>34111.199999999997</v>
      </c>
      <c r="L1652" s="494"/>
      <c r="M1652" s="494"/>
      <c r="N1652" s="494"/>
      <c r="O1652" s="302"/>
      <c r="Q1652" s="595"/>
      <c r="R1652" s="484"/>
      <c r="S1652" s="595"/>
      <c r="T1652" s="595"/>
      <c r="U1652" s="595"/>
    </row>
    <row r="1653" spans="2:21" s="298" customFormat="1" ht="14.1" customHeight="1">
      <c r="B1653" s="951"/>
      <c r="C1653" s="622" t="s">
        <v>222</v>
      </c>
      <c r="D1653" s="703" t="s">
        <v>76</v>
      </c>
      <c r="E1653" s="704"/>
      <c r="F1653" s="704"/>
      <c r="G1653" s="704"/>
      <c r="H1653" s="705"/>
      <c r="I1653" s="704"/>
      <c r="J1653" s="706" t="s">
        <v>226</v>
      </c>
      <c r="K1653" s="707">
        <f>SUM(K1651:K1652)</f>
        <v>318371.20000000001</v>
      </c>
      <c r="L1653" s="620"/>
      <c r="M1653" s="626"/>
      <c r="N1653" s="635"/>
      <c r="O1653" s="302"/>
      <c r="Q1653" s="595"/>
      <c r="R1653" s="484"/>
      <c r="S1653" s="595"/>
      <c r="T1653" s="595"/>
      <c r="U1653" s="595"/>
    </row>
    <row r="1654" spans="2:21">
      <c r="Q1654" s="595"/>
      <c r="R1654" s="484"/>
      <c r="S1654" s="595"/>
      <c r="T1654" s="595"/>
      <c r="U1654" s="595"/>
    </row>
    <row r="1655" spans="2:21" s="505" customFormat="1" ht="14.1" customHeight="1">
      <c r="B1655" s="951">
        <f>B1635+1</f>
        <v>84</v>
      </c>
      <c r="C1655" s="488"/>
      <c r="D1655" s="709" t="s">
        <v>127</v>
      </c>
      <c r="E1655" s="485"/>
      <c r="F1655" s="485"/>
      <c r="G1655" s="485"/>
      <c r="H1655" s="488"/>
      <c r="I1655" s="485"/>
      <c r="J1655" s="485"/>
      <c r="K1655" s="591" t="s">
        <v>239</v>
      </c>
      <c r="L1655" s="591"/>
      <c r="M1655" s="591"/>
      <c r="N1655" s="591"/>
      <c r="O1655" s="631" t="str">
        <f>D1656</f>
        <v>bh</v>
      </c>
      <c r="P1655" s="595">
        <f>K1670</f>
        <v>62081.599999999999</v>
      </c>
      <c r="Q1655" s="593">
        <f>L1668</f>
        <v>0.37781887064766373</v>
      </c>
      <c r="R1655" s="484">
        <f>N1668</f>
        <v>20942.5</v>
      </c>
      <c r="S1655" s="594"/>
      <c r="T1655" s="484"/>
      <c r="U1655" s="593"/>
    </row>
    <row r="1656" spans="2:21" s="505" customFormat="1" ht="14.1" customHeight="1">
      <c r="B1656" s="951"/>
      <c r="C1656" s="488"/>
      <c r="D1656" s="485" t="s">
        <v>45</v>
      </c>
      <c r="E1656" s="485"/>
      <c r="F1656" s="485"/>
      <c r="G1656" s="485"/>
      <c r="H1656" s="488"/>
      <c r="I1656" s="485"/>
      <c r="J1656" s="485"/>
      <c r="K1656" s="485"/>
      <c r="L1656" s="485"/>
      <c r="M1656" s="485"/>
      <c r="N1656" s="485"/>
      <c r="O1656" s="631"/>
      <c r="Q1656" s="595"/>
      <c r="R1656" s="484"/>
      <c r="S1656" s="595"/>
      <c r="T1656" s="595"/>
      <c r="U1656" s="595"/>
    </row>
    <row r="1657" spans="2:21" s="505" customFormat="1" ht="14.1" customHeight="1">
      <c r="B1657" s="951"/>
      <c r="C1657" s="596"/>
      <c r="D1657" s="977" t="s">
        <v>55</v>
      </c>
      <c r="E1657" s="978"/>
      <c r="F1657" s="597"/>
      <c r="G1657" s="981" t="s">
        <v>56</v>
      </c>
      <c r="H1657" s="981" t="s">
        <v>57</v>
      </c>
      <c r="I1657" s="596" t="s">
        <v>58</v>
      </c>
      <c r="J1657" s="596" t="s">
        <v>59</v>
      </c>
      <c r="K1657" s="596" t="s">
        <v>102</v>
      </c>
      <c r="L1657" s="596" t="s">
        <v>418</v>
      </c>
      <c r="M1657" s="596" t="s">
        <v>419</v>
      </c>
      <c r="N1657" s="596" t="s">
        <v>59</v>
      </c>
      <c r="O1657" s="631"/>
      <c r="Q1657" s="595"/>
      <c r="R1657" s="484"/>
      <c r="S1657" s="595"/>
      <c r="T1657" s="595"/>
      <c r="U1657" s="595"/>
    </row>
    <row r="1658" spans="2:21" s="505" customFormat="1" ht="14.1" customHeight="1">
      <c r="B1658" s="951"/>
      <c r="C1658" s="598" t="s">
        <v>227</v>
      </c>
      <c r="D1658" s="979"/>
      <c r="E1658" s="980"/>
      <c r="F1658" s="599"/>
      <c r="G1658" s="982"/>
      <c r="H1658" s="982"/>
      <c r="I1658" s="598" t="s">
        <v>60</v>
      </c>
      <c r="J1658" s="598" t="s">
        <v>61</v>
      </c>
      <c r="K1658" s="598" t="s">
        <v>61</v>
      </c>
      <c r="L1658" s="598" t="s">
        <v>421</v>
      </c>
      <c r="M1658" s="598"/>
      <c r="N1658" s="598" t="s">
        <v>423</v>
      </c>
      <c r="O1658" s="631"/>
      <c r="Q1658" s="595"/>
      <c r="R1658" s="484"/>
      <c r="S1658" s="595"/>
      <c r="T1658" s="595"/>
      <c r="U1658" s="595"/>
    </row>
    <row r="1659" spans="2:21" s="505" customFormat="1" ht="14.1" customHeight="1">
      <c r="B1659" s="951"/>
      <c r="C1659" s="600"/>
      <c r="D1659" s="969"/>
      <c r="E1659" s="970"/>
      <c r="F1659" s="601"/>
      <c r="G1659" s="973"/>
      <c r="H1659" s="973"/>
      <c r="I1659" s="600" t="s">
        <v>61</v>
      </c>
      <c r="J1659" s="602"/>
      <c r="K1659" s="602"/>
      <c r="L1659" s="602"/>
      <c r="M1659" s="602"/>
      <c r="N1659" s="600" t="s">
        <v>61</v>
      </c>
      <c r="O1659" s="631"/>
      <c r="Q1659" s="595"/>
      <c r="R1659" s="484"/>
      <c r="S1659" s="595"/>
      <c r="T1659" s="595"/>
      <c r="U1659" s="595"/>
    </row>
    <row r="1660" spans="2:21" s="505" customFormat="1" ht="14.1" customHeight="1">
      <c r="B1660" s="951"/>
      <c r="C1660" s="596" t="s">
        <v>213</v>
      </c>
      <c r="D1660" s="603" t="s">
        <v>62</v>
      </c>
      <c r="E1660" s="710" t="s">
        <v>161</v>
      </c>
      <c r="F1660" s="710"/>
      <c r="G1660" s="605" t="s">
        <v>45</v>
      </c>
      <c r="H1660" s="711">
        <v>1</v>
      </c>
      <c r="I1660" s="491">
        <f>'UPH-TNG'!$I$129</f>
        <v>31000</v>
      </c>
      <c r="J1660" s="491">
        <f>ROUND(H1660*I1660,2)</f>
        <v>31000</v>
      </c>
      <c r="K1660" s="492"/>
      <c r="L1660" s="501">
        <v>0</v>
      </c>
      <c r="M1660" s="494"/>
      <c r="N1660" s="491">
        <f t="shared" ref="N1660:N1667" si="108">L1660*J1660</f>
        <v>0</v>
      </c>
      <c r="O1660" s="631"/>
      <c r="Q1660" s="595"/>
      <c r="R1660" s="484"/>
      <c r="S1660" s="595"/>
      <c r="T1660" s="595"/>
      <c r="U1660" s="595"/>
    </row>
    <row r="1661" spans="2:21" s="505" customFormat="1" ht="14.1" customHeight="1">
      <c r="B1661" s="951"/>
      <c r="C1661" s="655"/>
      <c r="D1661" s="685"/>
      <c r="E1661" s="722" t="s">
        <v>413</v>
      </c>
      <c r="F1661" s="722"/>
      <c r="G1661" s="698" t="s">
        <v>412</v>
      </c>
      <c r="H1661" s="723">
        <v>1</v>
      </c>
      <c r="I1661" s="530">
        <f>SUM(J1660)*45%</f>
        <v>13950</v>
      </c>
      <c r="J1661" s="522">
        <f>ROUND(H1661*I1661,2)</f>
        <v>13950</v>
      </c>
      <c r="K1661" s="523"/>
      <c r="L1661" s="501">
        <v>0.75</v>
      </c>
      <c r="M1661" s="494" t="s">
        <v>430</v>
      </c>
      <c r="N1661" s="491">
        <f t="shared" si="108"/>
        <v>10462.5</v>
      </c>
      <c r="O1661" s="631"/>
      <c r="Q1661" s="595"/>
      <c r="R1661" s="484"/>
      <c r="S1661" s="595"/>
      <c r="T1661" s="595"/>
      <c r="U1661" s="595"/>
    </row>
    <row r="1662" spans="2:21" s="505" customFormat="1" ht="14.1" customHeight="1">
      <c r="B1662" s="951"/>
      <c r="C1662" s="598"/>
      <c r="D1662" s="607"/>
      <c r="E1662" s="712"/>
      <c r="F1662" s="713"/>
      <c r="G1662" s="610"/>
      <c r="H1662" s="714"/>
      <c r="I1662" s="504"/>
      <c r="J1662" s="495"/>
      <c r="K1662" s="491">
        <f>SUM(J1660:J1661)</f>
        <v>44950</v>
      </c>
      <c r="L1662" s="493"/>
      <c r="M1662" s="494"/>
      <c r="N1662" s="491">
        <f t="shared" si="108"/>
        <v>0</v>
      </c>
      <c r="O1662" s="631"/>
      <c r="Q1662" s="595"/>
      <c r="R1662" s="484"/>
      <c r="S1662" s="595"/>
      <c r="T1662" s="595"/>
      <c r="U1662" s="595"/>
    </row>
    <row r="1663" spans="2:21" s="505" customFormat="1" ht="14.1" customHeight="1">
      <c r="B1663" s="951"/>
      <c r="C1663" s="596" t="s">
        <v>214</v>
      </c>
      <c r="D1663" s="603" t="s">
        <v>63</v>
      </c>
      <c r="E1663" s="734" t="s">
        <v>5</v>
      </c>
      <c r="F1663" s="710"/>
      <c r="G1663" s="605" t="s">
        <v>66</v>
      </c>
      <c r="H1663" s="711">
        <v>0.1</v>
      </c>
      <c r="I1663" s="491">
        <f>'UPH-TNG'!$I$26</f>
        <v>95000</v>
      </c>
      <c r="J1663" s="491">
        <f>ROUND(H1663*I1663,2)</f>
        <v>9500</v>
      </c>
      <c r="K1663" s="492"/>
      <c r="L1663" s="493">
        <v>1</v>
      </c>
      <c r="M1663" s="493" t="s">
        <v>422</v>
      </c>
      <c r="N1663" s="491">
        <f t="shared" si="108"/>
        <v>9500</v>
      </c>
      <c r="O1663" s="631"/>
      <c r="Q1663" s="595"/>
      <c r="R1663" s="484"/>
      <c r="S1663" s="595"/>
      <c r="T1663" s="595"/>
      <c r="U1663" s="595"/>
    </row>
    <row r="1664" spans="2:21" s="505" customFormat="1" ht="14.1" customHeight="1">
      <c r="B1664" s="951"/>
      <c r="C1664" s="598"/>
      <c r="D1664" s="607"/>
      <c r="E1664" s="710" t="s">
        <v>65</v>
      </c>
      <c r="F1664" s="710"/>
      <c r="G1664" s="605" t="s">
        <v>66</v>
      </c>
      <c r="H1664" s="711">
        <v>0.01</v>
      </c>
      <c r="I1664" s="491">
        <f>'UPH-TNG'!$I$20</f>
        <v>98000</v>
      </c>
      <c r="J1664" s="491">
        <f>ROUND(H1664*I1664,2)</f>
        <v>980</v>
      </c>
      <c r="K1664" s="496"/>
      <c r="L1664" s="493">
        <v>1</v>
      </c>
      <c r="M1664" s="493" t="s">
        <v>422</v>
      </c>
      <c r="N1664" s="491">
        <f t="shared" si="108"/>
        <v>980</v>
      </c>
      <c r="O1664" s="631"/>
      <c r="Q1664" s="595"/>
      <c r="R1664" s="484"/>
      <c r="S1664" s="595"/>
      <c r="T1664" s="595"/>
      <c r="U1664" s="595"/>
    </row>
    <row r="1665" spans="2:21" s="505" customFormat="1" ht="14.1" customHeight="1">
      <c r="B1665" s="951"/>
      <c r="C1665" s="600"/>
      <c r="D1665" s="602"/>
      <c r="E1665" s="612"/>
      <c r="F1665" s="613"/>
      <c r="G1665" s="610"/>
      <c r="H1665" s="614"/>
      <c r="I1665" s="504"/>
      <c r="J1665" s="495"/>
      <c r="K1665" s="494">
        <f>SUM(J1663:J1664)</f>
        <v>10480</v>
      </c>
      <c r="L1665" s="493"/>
      <c r="M1665" s="494"/>
      <c r="N1665" s="491">
        <f t="shared" si="108"/>
        <v>0</v>
      </c>
      <c r="O1665" s="631"/>
      <c r="Q1665" s="595"/>
      <c r="R1665" s="484"/>
      <c r="S1665" s="595"/>
      <c r="T1665" s="595"/>
      <c r="U1665" s="595"/>
    </row>
    <row r="1666" spans="2:21" s="505" customFormat="1" ht="14.1" customHeight="1">
      <c r="B1666" s="951"/>
      <c r="C1666" s="598" t="s">
        <v>215</v>
      </c>
      <c r="D1666" s="603" t="s">
        <v>212</v>
      </c>
      <c r="E1666" s="615"/>
      <c r="F1666" s="615"/>
      <c r="G1666" s="605"/>
      <c r="H1666" s="616"/>
      <c r="I1666" s="617"/>
      <c r="J1666" s="491"/>
      <c r="K1666" s="492"/>
      <c r="L1666" s="493"/>
      <c r="M1666" s="494"/>
      <c r="N1666" s="491">
        <f t="shared" si="108"/>
        <v>0</v>
      </c>
      <c r="O1666" s="631"/>
      <c r="Q1666" s="595"/>
      <c r="R1666" s="484"/>
      <c r="S1666" s="595"/>
      <c r="T1666" s="595"/>
      <c r="U1666" s="595"/>
    </row>
    <row r="1667" spans="2:21" s="505" customFormat="1" ht="14.1" customHeight="1">
      <c r="B1667" s="951"/>
      <c r="C1667" s="600"/>
      <c r="D1667" s="602"/>
      <c r="E1667" s="612"/>
      <c r="F1667" s="613"/>
      <c r="G1667" s="610"/>
      <c r="H1667" s="614"/>
      <c r="I1667" s="618"/>
      <c r="J1667" s="495"/>
      <c r="K1667" s="494">
        <f>SUM(J1666:J1666)</f>
        <v>0</v>
      </c>
      <c r="L1667" s="493"/>
      <c r="M1667" s="494"/>
      <c r="N1667" s="491">
        <f t="shared" si="108"/>
        <v>0</v>
      </c>
      <c r="O1667" s="631"/>
      <c r="Q1667" s="595"/>
      <c r="R1667" s="484"/>
      <c r="S1667" s="595"/>
      <c r="T1667" s="595"/>
      <c r="U1667" s="595"/>
    </row>
    <row r="1668" spans="2:21" s="505" customFormat="1" ht="14.1" customHeight="1">
      <c r="B1668" s="951"/>
      <c r="C1668" s="605" t="s">
        <v>216</v>
      </c>
      <c r="D1668" s="619" t="s">
        <v>219</v>
      </c>
      <c r="E1668" s="613"/>
      <c r="F1668" s="613"/>
      <c r="G1668" s="610"/>
      <c r="H1668" s="614"/>
      <c r="I1668" s="618"/>
      <c r="J1668" s="497" t="s">
        <v>220</v>
      </c>
      <c r="K1668" s="494">
        <f>K1662+K1665+K1667</f>
        <v>55430</v>
      </c>
      <c r="L1668" s="620">
        <f>N1668/K1668</f>
        <v>0.37781887064766373</v>
      </c>
      <c r="M1668" s="497"/>
      <c r="N1668" s="498">
        <f>SUM(N1657:N1667)</f>
        <v>20942.5</v>
      </c>
      <c r="O1668" s="631"/>
      <c r="Q1668" s="595"/>
      <c r="R1668" s="484"/>
      <c r="S1668" s="595"/>
      <c r="T1668" s="595"/>
      <c r="U1668" s="595"/>
    </row>
    <row r="1669" spans="2:21" s="505" customFormat="1" ht="14.1" customHeight="1">
      <c r="B1669" s="951"/>
      <c r="C1669" s="600" t="s">
        <v>217</v>
      </c>
      <c r="D1669" s="619" t="s">
        <v>221</v>
      </c>
      <c r="E1669" s="613"/>
      <c r="F1669" s="499">
        <f>$F$48</f>
        <v>0.1</v>
      </c>
      <c r="G1669" s="605" t="s">
        <v>168</v>
      </c>
      <c r="H1669" s="499">
        <f>$H$48</f>
        <v>0.02</v>
      </c>
      <c r="I1669" s="621" t="s">
        <v>167</v>
      </c>
      <c r="J1669" s="494" t="s">
        <v>216</v>
      </c>
      <c r="K1669" s="500">
        <f>ROUND((K1668*(F1669+H1669)),2)</f>
        <v>6651.6</v>
      </c>
      <c r="L1669" s="494"/>
      <c r="M1669" s="494"/>
      <c r="N1669" s="494"/>
      <c r="O1669" s="631"/>
      <c r="Q1669" s="595"/>
      <c r="R1669" s="484"/>
      <c r="S1669" s="595"/>
      <c r="T1669" s="595"/>
      <c r="U1669" s="595"/>
    </row>
    <row r="1670" spans="2:21" s="505" customFormat="1" ht="14.1" customHeight="1">
      <c r="B1670" s="951"/>
      <c r="C1670" s="622" t="s">
        <v>222</v>
      </c>
      <c r="D1670" s="623" t="s">
        <v>76</v>
      </c>
      <c r="E1670" s="624"/>
      <c r="F1670" s="624"/>
      <c r="G1670" s="624"/>
      <c r="H1670" s="625"/>
      <c r="I1670" s="624"/>
      <c r="J1670" s="626" t="s">
        <v>226</v>
      </c>
      <c r="K1670" s="627">
        <f>SUM(K1668:K1669)</f>
        <v>62081.599999999999</v>
      </c>
      <c r="L1670" s="620"/>
      <c r="M1670" s="626"/>
      <c r="N1670" s="635"/>
      <c r="O1670" s="631"/>
      <c r="Q1670" s="595"/>
      <c r="R1670" s="484"/>
      <c r="S1670" s="595"/>
      <c r="T1670" s="595"/>
      <c r="U1670" s="595"/>
    </row>
    <row r="1671" spans="2:21">
      <c r="Q1671" s="595"/>
      <c r="R1671" s="484"/>
      <c r="S1671" s="595"/>
      <c r="T1671" s="595"/>
      <c r="U1671" s="595"/>
    </row>
    <row r="1672" spans="2:21" s="505" customFormat="1" ht="14.1" customHeight="1">
      <c r="B1672" s="951">
        <f>B1655+1</f>
        <v>85</v>
      </c>
      <c r="C1672" s="488"/>
      <c r="D1672" s="709" t="s">
        <v>128</v>
      </c>
      <c r="E1672" s="485"/>
      <c r="F1672" s="485"/>
      <c r="G1672" s="485"/>
      <c r="H1672" s="488"/>
      <c r="I1672" s="485"/>
      <c r="J1672" s="485"/>
      <c r="K1672" s="591" t="s">
        <v>239</v>
      </c>
      <c r="L1672" s="591"/>
      <c r="M1672" s="591"/>
      <c r="N1672" s="591"/>
      <c r="O1672" s="631" t="str">
        <f>D1673</f>
        <v>bh</v>
      </c>
      <c r="P1672" s="595">
        <f>K1687</f>
        <v>50713.599999999999</v>
      </c>
      <c r="Q1672" s="593">
        <f>L1685</f>
        <v>0.41033568904593637</v>
      </c>
      <c r="R1672" s="484">
        <f>N1685</f>
        <v>18580</v>
      </c>
      <c r="S1672" s="594"/>
      <c r="T1672" s="484"/>
      <c r="U1672" s="593"/>
    </row>
    <row r="1673" spans="2:21" s="505" customFormat="1" ht="14.1" customHeight="1">
      <c r="B1673" s="951"/>
      <c r="C1673" s="488"/>
      <c r="D1673" s="485" t="s">
        <v>45</v>
      </c>
      <c r="E1673" s="485"/>
      <c r="F1673" s="485"/>
      <c r="G1673" s="485"/>
      <c r="H1673" s="488"/>
      <c r="I1673" s="485"/>
      <c r="J1673" s="485"/>
      <c r="K1673" s="485"/>
      <c r="L1673" s="485"/>
      <c r="M1673" s="485"/>
      <c r="N1673" s="485"/>
      <c r="O1673" s="631"/>
      <c r="Q1673" s="595"/>
      <c r="R1673" s="484"/>
      <c r="S1673" s="595"/>
      <c r="T1673" s="595"/>
      <c r="U1673" s="595"/>
    </row>
    <row r="1674" spans="2:21" s="505" customFormat="1" ht="14.1" customHeight="1">
      <c r="B1674" s="951"/>
      <c r="C1674" s="596"/>
      <c r="D1674" s="977" t="s">
        <v>55</v>
      </c>
      <c r="E1674" s="978"/>
      <c r="F1674" s="597"/>
      <c r="G1674" s="981" t="s">
        <v>56</v>
      </c>
      <c r="H1674" s="981" t="s">
        <v>57</v>
      </c>
      <c r="I1674" s="596" t="s">
        <v>58</v>
      </c>
      <c r="J1674" s="596" t="s">
        <v>59</v>
      </c>
      <c r="K1674" s="596" t="s">
        <v>102</v>
      </c>
      <c r="L1674" s="596" t="s">
        <v>418</v>
      </c>
      <c r="M1674" s="596" t="s">
        <v>419</v>
      </c>
      <c r="N1674" s="596" t="s">
        <v>59</v>
      </c>
      <c r="O1674" s="631"/>
      <c r="Q1674" s="595"/>
      <c r="R1674" s="484"/>
      <c r="S1674" s="595"/>
      <c r="T1674" s="595"/>
      <c r="U1674" s="595"/>
    </row>
    <row r="1675" spans="2:21" s="505" customFormat="1" ht="14.1" customHeight="1">
      <c r="B1675" s="951"/>
      <c r="C1675" s="598" t="s">
        <v>227</v>
      </c>
      <c r="D1675" s="979"/>
      <c r="E1675" s="980"/>
      <c r="F1675" s="599"/>
      <c r="G1675" s="982"/>
      <c r="H1675" s="982"/>
      <c r="I1675" s="598" t="s">
        <v>60</v>
      </c>
      <c r="J1675" s="598" t="s">
        <v>61</v>
      </c>
      <c r="K1675" s="598" t="s">
        <v>61</v>
      </c>
      <c r="L1675" s="598" t="s">
        <v>421</v>
      </c>
      <c r="M1675" s="598"/>
      <c r="N1675" s="598" t="s">
        <v>423</v>
      </c>
      <c r="O1675" s="631"/>
      <c r="Q1675" s="595"/>
      <c r="R1675" s="484"/>
      <c r="S1675" s="595"/>
      <c r="T1675" s="595"/>
      <c r="U1675" s="595"/>
    </row>
    <row r="1676" spans="2:21" s="505" customFormat="1" ht="14.1" customHeight="1">
      <c r="B1676" s="951"/>
      <c r="C1676" s="600"/>
      <c r="D1676" s="969"/>
      <c r="E1676" s="970"/>
      <c r="F1676" s="601"/>
      <c r="G1676" s="973"/>
      <c r="H1676" s="973"/>
      <c r="I1676" s="600" t="s">
        <v>61</v>
      </c>
      <c r="J1676" s="602"/>
      <c r="K1676" s="602"/>
      <c r="L1676" s="602"/>
      <c r="M1676" s="602"/>
      <c r="N1676" s="600" t="s">
        <v>61</v>
      </c>
      <c r="O1676" s="631"/>
      <c r="Q1676" s="595"/>
      <c r="R1676" s="484"/>
      <c r="S1676" s="595"/>
      <c r="T1676" s="595"/>
      <c r="U1676" s="595"/>
    </row>
    <row r="1677" spans="2:21" s="505" customFormat="1" ht="14.1" customHeight="1">
      <c r="B1677" s="951"/>
      <c r="C1677" s="596" t="s">
        <v>213</v>
      </c>
      <c r="D1677" s="603" t="s">
        <v>62</v>
      </c>
      <c r="E1677" s="710" t="s">
        <v>160</v>
      </c>
      <c r="F1677" s="710"/>
      <c r="G1677" s="605" t="s">
        <v>45</v>
      </c>
      <c r="H1677" s="711">
        <v>1</v>
      </c>
      <c r="I1677" s="491">
        <f>'UPH-TNG'!I130</f>
        <v>24000</v>
      </c>
      <c r="J1677" s="491">
        <f>ROUND(H1677*I1677,2)</f>
        <v>24000</v>
      </c>
      <c r="K1677" s="492"/>
      <c r="L1677" s="501">
        <v>0</v>
      </c>
      <c r="M1677" s="494"/>
      <c r="N1677" s="491">
        <f t="shared" ref="N1677:N1684" si="109">L1677*J1677</f>
        <v>0</v>
      </c>
      <c r="O1677" s="631"/>
      <c r="Q1677" s="595"/>
      <c r="R1677" s="484"/>
      <c r="S1677" s="595"/>
      <c r="T1677" s="595"/>
      <c r="U1677" s="595"/>
    </row>
    <row r="1678" spans="2:21" s="505" customFormat="1" ht="14.1" customHeight="1">
      <c r="B1678" s="951"/>
      <c r="C1678" s="655"/>
      <c r="D1678" s="685"/>
      <c r="E1678" s="722" t="s">
        <v>413</v>
      </c>
      <c r="F1678" s="722"/>
      <c r="G1678" s="698" t="s">
        <v>412</v>
      </c>
      <c r="H1678" s="723">
        <v>1</v>
      </c>
      <c r="I1678" s="530">
        <f>SUM(J1677)*45%</f>
        <v>10800</v>
      </c>
      <c r="J1678" s="522">
        <f>ROUND(H1678*I1678,2)</f>
        <v>10800</v>
      </c>
      <c r="K1678" s="523"/>
      <c r="L1678" s="501">
        <v>0.75</v>
      </c>
      <c r="M1678" s="494" t="s">
        <v>430</v>
      </c>
      <c r="N1678" s="491">
        <f t="shared" si="109"/>
        <v>8100</v>
      </c>
      <c r="O1678" s="631"/>
      <c r="Q1678" s="595"/>
      <c r="R1678" s="484"/>
      <c r="S1678" s="595"/>
      <c r="T1678" s="595"/>
      <c r="U1678" s="595"/>
    </row>
    <row r="1679" spans="2:21" s="505" customFormat="1" ht="14.1" customHeight="1">
      <c r="B1679" s="951"/>
      <c r="C1679" s="598"/>
      <c r="D1679" s="607"/>
      <c r="E1679" s="712"/>
      <c r="F1679" s="713"/>
      <c r="G1679" s="610"/>
      <c r="H1679" s="714"/>
      <c r="I1679" s="504"/>
      <c r="J1679" s="495"/>
      <c r="K1679" s="491">
        <f>SUM(J1677:J1678)</f>
        <v>34800</v>
      </c>
      <c r="L1679" s="493"/>
      <c r="M1679" s="494"/>
      <c r="N1679" s="491">
        <f t="shared" si="109"/>
        <v>0</v>
      </c>
      <c r="O1679" s="631"/>
      <c r="Q1679" s="595"/>
      <c r="R1679" s="484"/>
      <c r="S1679" s="595"/>
      <c r="T1679" s="595"/>
      <c r="U1679" s="595"/>
    </row>
    <row r="1680" spans="2:21" s="505" customFormat="1" ht="14.1" customHeight="1">
      <c r="B1680" s="951"/>
      <c r="C1680" s="596" t="s">
        <v>214</v>
      </c>
      <c r="D1680" s="603" t="s">
        <v>63</v>
      </c>
      <c r="E1680" s="710" t="s">
        <v>5</v>
      </c>
      <c r="F1680" s="710"/>
      <c r="G1680" s="605" t="s">
        <v>66</v>
      </c>
      <c r="H1680" s="711">
        <v>0.1</v>
      </c>
      <c r="I1680" s="491">
        <f>'UPH-TNG'!$I$26</f>
        <v>95000</v>
      </c>
      <c r="J1680" s="491">
        <f>ROUND(H1680*I1680,2)</f>
        <v>9500</v>
      </c>
      <c r="K1680" s="492"/>
      <c r="L1680" s="493">
        <v>1</v>
      </c>
      <c r="M1680" s="493" t="s">
        <v>422</v>
      </c>
      <c r="N1680" s="491">
        <f t="shared" si="109"/>
        <v>9500</v>
      </c>
      <c r="O1680" s="631"/>
      <c r="Q1680" s="595"/>
      <c r="R1680" s="484"/>
      <c r="S1680" s="595"/>
      <c r="T1680" s="595"/>
      <c r="U1680" s="595"/>
    </row>
    <row r="1681" spans="2:21" s="505" customFormat="1" ht="14.1" customHeight="1">
      <c r="B1681" s="951"/>
      <c r="C1681" s="598"/>
      <c r="D1681" s="607"/>
      <c r="E1681" s="710" t="s">
        <v>65</v>
      </c>
      <c r="F1681" s="710"/>
      <c r="G1681" s="605" t="s">
        <v>66</v>
      </c>
      <c r="H1681" s="735">
        <v>0.01</v>
      </c>
      <c r="I1681" s="491">
        <f>'UPH-TNG'!$I$20</f>
        <v>98000</v>
      </c>
      <c r="J1681" s="491">
        <f>ROUND(H1681*I1681,2)</f>
        <v>980</v>
      </c>
      <c r="K1681" s="496"/>
      <c r="L1681" s="493">
        <v>1</v>
      </c>
      <c r="M1681" s="493" t="s">
        <v>422</v>
      </c>
      <c r="N1681" s="491">
        <f t="shared" si="109"/>
        <v>980</v>
      </c>
      <c r="O1681" s="631"/>
      <c r="Q1681" s="595"/>
      <c r="R1681" s="484"/>
      <c r="S1681" s="595"/>
      <c r="T1681" s="595"/>
      <c r="U1681" s="595"/>
    </row>
    <row r="1682" spans="2:21" s="505" customFormat="1" ht="14.1" customHeight="1">
      <c r="B1682" s="951"/>
      <c r="C1682" s="600"/>
      <c r="D1682" s="602"/>
      <c r="E1682" s="612"/>
      <c r="F1682" s="613"/>
      <c r="G1682" s="610"/>
      <c r="H1682" s="614"/>
      <c r="I1682" s="504"/>
      <c r="J1682" s="495"/>
      <c r="K1682" s="494">
        <f>SUM(J1680:J1681)</f>
        <v>10480</v>
      </c>
      <c r="L1682" s="493"/>
      <c r="M1682" s="494"/>
      <c r="N1682" s="491">
        <f t="shared" si="109"/>
        <v>0</v>
      </c>
      <c r="O1682" s="631"/>
      <c r="Q1682" s="595"/>
      <c r="R1682" s="484"/>
      <c r="S1682" s="595"/>
      <c r="T1682" s="595"/>
      <c r="U1682" s="595"/>
    </row>
    <row r="1683" spans="2:21" s="505" customFormat="1" ht="14.1" customHeight="1">
      <c r="B1683" s="951"/>
      <c r="C1683" s="598" t="s">
        <v>215</v>
      </c>
      <c r="D1683" s="603" t="s">
        <v>212</v>
      </c>
      <c r="E1683" s="615"/>
      <c r="F1683" s="615"/>
      <c r="G1683" s="605"/>
      <c r="H1683" s="616"/>
      <c r="I1683" s="617"/>
      <c r="J1683" s="491"/>
      <c r="K1683" s="492"/>
      <c r="L1683" s="493"/>
      <c r="M1683" s="494"/>
      <c r="N1683" s="491">
        <f t="shared" si="109"/>
        <v>0</v>
      </c>
      <c r="O1683" s="631"/>
      <c r="Q1683" s="595"/>
      <c r="R1683" s="484"/>
      <c r="S1683" s="595"/>
      <c r="T1683" s="595"/>
      <c r="U1683" s="595"/>
    </row>
    <row r="1684" spans="2:21" s="505" customFormat="1" ht="14.1" customHeight="1">
      <c r="B1684" s="951"/>
      <c r="C1684" s="600"/>
      <c r="D1684" s="602"/>
      <c r="E1684" s="612"/>
      <c r="F1684" s="613"/>
      <c r="G1684" s="610"/>
      <c r="H1684" s="614"/>
      <c r="I1684" s="618"/>
      <c r="J1684" s="495"/>
      <c r="K1684" s="494">
        <f>SUM(J1683:J1683)</f>
        <v>0</v>
      </c>
      <c r="L1684" s="493"/>
      <c r="M1684" s="494"/>
      <c r="N1684" s="491">
        <f t="shared" si="109"/>
        <v>0</v>
      </c>
      <c r="O1684" s="631"/>
      <c r="Q1684" s="595"/>
      <c r="R1684" s="484"/>
      <c r="S1684" s="595"/>
      <c r="T1684" s="595"/>
      <c r="U1684" s="595"/>
    </row>
    <row r="1685" spans="2:21" s="505" customFormat="1" ht="14.1" customHeight="1">
      <c r="B1685" s="951"/>
      <c r="C1685" s="605" t="s">
        <v>216</v>
      </c>
      <c r="D1685" s="619" t="s">
        <v>219</v>
      </c>
      <c r="E1685" s="613"/>
      <c r="F1685" s="613"/>
      <c r="G1685" s="610"/>
      <c r="H1685" s="614"/>
      <c r="I1685" s="618"/>
      <c r="J1685" s="497" t="s">
        <v>220</v>
      </c>
      <c r="K1685" s="494">
        <f>K1679+K1682+K1684</f>
        <v>45280</v>
      </c>
      <c r="L1685" s="620">
        <f>N1685/K1685</f>
        <v>0.41033568904593637</v>
      </c>
      <c r="M1685" s="497"/>
      <c r="N1685" s="498">
        <f>SUM(N1674:N1684)</f>
        <v>18580</v>
      </c>
      <c r="O1685" s="631"/>
      <c r="Q1685" s="595"/>
      <c r="R1685" s="484"/>
      <c r="S1685" s="595"/>
      <c r="T1685" s="595"/>
      <c r="U1685" s="595"/>
    </row>
    <row r="1686" spans="2:21" s="505" customFormat="1" ht="14.1" customHeight="1">
      <c r="B1686" s="951"/>
      <c r="C1686" s="600" t="s">
        <v>217</v>
      </c>
      <c r="D1686" s="619" t="s">
        <v>221</v>
      </c>
      <c r="E1686" s="613"/>
      <c r="F1686" s="499">
        <f>$F$48</f>
        <v>0.1</v>
      </c>
      <c r="G1686" s="605" t="s">
        <v>168</v>
      </c>
      <c r="H1686" s="499">
        <f>$H$48</f>
        <v>0.02</v>
      </c>
      <c r="I1686" s="621" t="s">
        <v>167</v>
      </c>
      <c r="J1686" s="494" t="s">
        <v>216</v>
      </c>
      <c r="K1686" s="500">
        <f>ROUND((K1685*(F1686+H1686)),2)</f>
        <v>5433.6</v>
      </c>
      <c r="L1686" s="494"/>
      <c r="M1686" s="494"/>
      <c r="N1686" s="494"/>
      <c r="O1686" s="631"/>
      <c r="Q1686" s="595"/>
      <c r="R1686" s="484"/>
      <c r="S1686" s="595"/>
      <c r="T1686" s="595"/>
      <c r="U1686" s="595"/>
    </row>
    <row r="1687" spans="2:21" s="505" customFormat="1" ht="14.1" customHeight="1">
      <c r="B1687" s="951"/>
      <c r="C1687" s="622" t="s">
        <v>222</v>
      </c>
      <c r="D1687" s="623" t="s">
        <v>76</v>
      </c>
      <c r="E1687" s="624"/>
      <c r="F1687" s="624"/>
      <c r="G1687" s="624"/>
      <c r="H1687" s="625"/>
      <c r="I1687" s="624"/>
      <c r="J1687" s="626" t="s">
        <v>226</v>
      </c>
      <c r="K1687" s="627">
        <f>SUM(K1685:K1686)</f>
        <v>50713.599999999999</v>
      </c>
      <c r="L1687" s="620"/>
      <c r="M1687" s="626"/>
      <c r="N1687" s="635"/>
      <c r="O1687" s="631"/>
      <c r="Q1687" s="595"/>
      <c r="R1687" s="484"/>
      <c r="S1687" s="595"/>
      <c r="T1687" s="595"/>
      <c r="U1687" s="595"/>
    </row>
    <row r="1688" spans="2:21">
      <c r="Q1688" s="595"/>
      <c r="R1688" s="484"/>
      <c r="S1688" s="595"/>
      <c r="T1688" s="595"/>
      <c r="U1688" s="595"/>
    </row>
    <row r="1689" spans="2:21" s="505" customFormat="1" ht="14.1" customHeight="1">
      <c r="B1689" s="951">
        <f>B1672+1</f>
        <v>86</v>
      </c>
      <c r="C1689" s="488"/>
      <c r="D1689" s="709" t="s">
        <v>129</v>
      </c>
      <c r="E1689" s="485"/>
      <c r="F1689" s="485"/>
      <c r="G1689" s="485"/>
      <c r="H1689" s="488"/>
      <c r="I1689" s="485"/>
      <c r="J1689" s="485"/>
      <c r="K1689" s="591" t="s">
        <v>239</v>
      </c>
      <c r="L1689" s="591"/>
      <c r="M1689" s="591"/>
      <c r="N1689" s="591"/>
      <c r="O1689" s="631" t="str">
        <f>D1690</f>
        <v>bh</v>
      </c>
      <c r="P1689" s="595">
        <f>K1704</f>
        <v>44217.599999999999</v>
      </c>
      <c r="Q1689" s="593">
        <f>L1702</f>
        <v>0.43642350557244175</v>
      </c>
      <c r="R1689" s="484">
        <f>N1702</f>
        <v>17230</v>
      </c>
      <c r="S1689" s="594"/>
      <c r="T1689" s="484"/>
      <c r="U1689" s="593"/>
    </row>
    <row r="1690" spans="2:21" s="505" customFormat="1" ht="14.1" customHeight="1">
      <c r="B1690" s="951"/>
      <c r="C1690" s="488"/>
      <c r="D1690" s="485" t="s">
        <v>45</v>
      </c>
      <c r="E1690" s="485"/>
      <c r="F1690" s="485"/>
      <c r="G1690" s="485"/>
      <c r="H1690" s="488"/>
      <c r="I1690" s="485"/>
      <c r="J1690" s="485"/>
      <c r="K1690" s="485"/>
      <c r="L1690" s="485"/>
      <c r="M1690" s="485"/>
      <c r="N1690" s="485"/>
      <c r="O1690" s="631"/>
      <c r="Q1690" s="595"/>
      <c r="R1690" s="484"/>
      <c r="S1690" s="595"/>
      <c r="T1690" s="595"/>
      <c r="U1690" s="595"/>
    </row>
    <row r="1691" spans="2:21" s="505" customFormat="1" ht="14.1" customHeight="1">
      <c r="B1691" s="951"/>
      <c r="C1691" s="596"/>
      <c r="D1691" s="977" t="s">
        <v>55</v>
      </c>
      <c r="E1691" s="978"/>
      <c r="F1691" s="597"/>
      <c r="G1691" s="981" t="s">
        <v>56</v>
      </c>
      <c r="H1691" s="981" t="s">
        <v>57</v>
      </c>
      <c r="I1691" s="596" t="s">
        <v>58</v>
      </c>
      <c r="J1691" s="596" t="s">
        <v>59</v>
      </c>
      <c r="K1691" s="596" t="s">
        <v>102</v>
      </c>
      <c r="L1691" s="596" t="s">
        <v>418</v>
      </c>
      <c r="M1691" s="596" t="s">
        <v>419</v>
      </c>
      <c r="N1691" s="596" t="s">
        <v>59</v>
      </c>
      <c r="O1691" s="631"/>
      <c r="Q1691" s="595"/>
      <c r="R1691" s="484"/>
      <c r="S1691" s="595"/>
      <c r="T1691" s="595"/>
      <c r="U1691" s="595"/>
    </row>
    <row r="1692" spans="2:21" s="505" customFormat="1" ht="14.1" customHeight="1">
      <c r="B1692" s="951"/>
      <c r="C1692" s="598" t="s">
        <v>227</v>
      </c>
      <c r="D1692" s="979"/>
      <c r="E1692" s="980"/>
      <c r="F1692" s="599"/>
      <c r="G1692" s="982"/>
      <c r="H1692" s="982"/>
      <c r="I1692" s="598" t="s">
        <v>60</v>
      </c>
      <c r="J1692" s="598" t="s">
        <v>61</v>
      </c>
      <c r="K1692" s="598" t="s">
        <v>61</v>
      </c>
      <c r="L1692" s="598" t="s">
        <v>421</v>
      </c>
      <c r="M1692" s="598"/>
      <c r="N1692" s="598" t="s">
        <v>423</v>
      </c>
      <c r="O1692" s="631"/>
      <c r="Q1692" s="595"/>
      <c r="R1692" s="484"/>
      <c r="S1692" s="595"/>
      <c r="T1692" s="595"/>
      <c r="U1692" s="595"/>
    </row>
    <row r="1693" spans="2:21" s="505" customFormat="1" ht="14.1" customHeight="1">
      <c r="B1693" s="951"/>
      <c r="C1693" s="600"/>
      <c r="D1693" s="969"/>
      <c r="E1693" s="970"/>
      <c r="F1693" s="601"/>
      <c r="G1693" s="973"/>
      <c r="H1693" s="973"/>
      <c r="I1693" s="600" t="s">
        <v>61</v>
      </c>
      <c r="J1693" s="602"/>
      <c r="K1693" s="602"/>
      <c r="L1693" s="602"/>
      <c r="M1693" s="602"/>
      <c r="N1693" s="600" t="s">
        <v>61</v>
      </c>
      <c r="O1693" s="631"/>
      <c r="Q1693" s="595"/>
      <c r="R1693" s="484"/>
      <c r="S1693" s="595"/>
      <c r="T1693" s="595"/>
      <c r="U1693" s="595"/>
    </row>
    <row r="1694" spans="2:21" s="505" customFormat="1" ht="14.1" customHeight="1">
      <c r="B1694" s="951"/>
      <c r="C1694" s="596" t="s">
        <v>213</v>
      </c>
      <c r="D1694" s="603" t="s">
        <v>62</v>
      </c>
      <c r="E1694" s="710" t="s">
        <v>139</v>
      </c>
      <c r="F1694" s="710"/>
      <c r="G1694" s="605" t="s">
        <v>45</v>
      </c>
      <c r="H1694" s="711">
        <v>1</v>
      </c>
      <c r="I1694" s="491">
        <f>'UPH-TNG'!$I$136</f>
        <v>20000</v>
      </c>
      <c r="J1694" s="491">
        <f>ROUND(H1694*I1694,2)</f>
        <v>20000</v>
      </c>
      <c r="K1694" s="492"/>
      <c r="L1694" s="501">
        <v>0</v>
      </c>
      <c r="M1694" s="494"/>
      <c r="N1694" s="491">
        <f t="shared" ref="N1694:N1701" si="110">L1694*J1694</f>
        <v>0</v>
      </c>
      <c r="O1694" s="631"/>
      <c r="Q1694" s="595"/>
      <c r="R1694" s="484"/>
      <c r="S1694" s="595"/>
      <c r="T1694" s="595"/>
      <c r="U1694" s="595"/>
    </row>
    <row r="1695" spans="2:21" s="505" customFormat="1" ht="14.1" customHeight="1">
      <c r="B1695" s="951"/>
      <c r="C1695" s="655"/>
      <c r="D1695" s="685"/>
      <c r="E1695" s="722" t="s">
        <v>413</v>
      </c>
      <c r="F1695" s="722"/>
      <c r="G1695" s="698" t="s">
        <v>412</v>
      </c>
      <c r="H1695" s="723">
        <v>1</v>
      </c>
      <c r="I1695" s="530">
        <f>SUM(J1694)*45%</f>
        <v>9000</v>
      </c>
      <c r="J1695" s="522">
        <f>ROUND(H1695*I1695,2)</f>
        <v>9000</v>
      </c>
      <c r="K1695" s="523"/>
      <c r="L1695" s="501">
        <v>0.75</v>
      </c>
      <c r="M1695" s="494" t="s">
        <v>430</v>
      </c>
      <c r="N1695" s="491">
        <f t="shared" si="110"/>
        <v>6750</v>
      </c>
      <c r="O1695" s="631"/>
      <c r="Q1695" s="595"/>
      <c r="R1695" s="484"/>
      <c r="S1695" s="595"/>
      <c r="T1695" s="595"/>
      <c r="U1695" s="595"/>
    </row>
    <row r="1696" spans="2:21" s="505" customFormat="1" ht="14.1" customHeight="1">
      <c r="B1696" s="951"/>
      <c r="C1696" s="598"/>
      <c r="D1696" s="607"/>
      <c r="E1696" s="712"/>
      <c r="F1696" s="713"/>
      <c r="G1696" s="610"/>
      <c r="H1696" s="714"/>
      <c r="I1696" s="504"/>
      <c r="J1696" s="495"/>
      <c r="K1696" s="491">
        <f>SUM(J1694:J1695)</f>
        <v>29000</v>
      </c>
      <c r="L1696" s="493"/>
      <c r="M1696" s="494"/>
      <c r="N1696" s="491">
        <f t="shared" si="110"/>
        <v>0</v>
      </c>
      <c r="O1696" s="631"/>
      <c r="Q1696" s="595"/>
      <c r="R1696" s="484"/>
      <c r="S1696" s="595"/>
      <c r="T1696" s="595"/>
      <c r="U1696" s="595"/>
    </row>
    <row r="1697" spans="2:21" s="505" customFormat="1" ht="14.1" customHeight="1">
      <c r="B1697" s="951"/>
      <c r="C1697" s="596" t="s">
        <v>214</v>
      </c>
      <c r="D1697" s="603" t="s">
        <v>63</v>
      </c>
      <c r="E1697" s="710" t="s">
        <v>5</v>
      </c>
      <c r="F1697" s="710"/>
      <c r="G1697" s="605" t="s">
        <v>66</v>
      </c>
      <c r="H1697" s="711">
        <v>0.1</v>
      </c>
      <c r="I1697" s="491">
        <f>'UPH-TNG'!$I$26</f>
        <v>95000</v>
      </c>
      <c r="J1697" s="491">
        <f>ROUND(H1697*I1697,2)</f>
        <v>9500</v>
      </c>
      <c r="K1697" s="492"/>
      <c r="L1697" s="493">
        <v>1</v>
      </c>
      <c r="M1697" s="493" t="s">
        <v>422</v>
      </c>
      <c r="N1697" s="491">
        <f t="shared" si="110"/>
        <v>9500</v>
      </c>
      <c r="O1697" s="631"/>
      <c r="Q1697" s="595"/>
      <c r="R1697" s="484"/>
      <c r="S1697" s="595"/>
      <c r="T1697" s="595"/>
      <c r="U1697" s="595"/>
    </row>
    <row r="1698" spans="2:21" s="505" customFormat="1" ht="14.1" customHeight="1">
      <c r="B1698" s="951"/>
      <c r="C1698" s="598"/>
      <c r="D1698" s="607"/>
      <c r="E1698" s="710" t="s">
        <v>65</v>
      </c>
      <c r="F1698" s="710"/>
      <c r="G1698" s="605" t="s">
        <v>66</v>
      </c>
      <c r="H1698" s="711">
        <v>0.01</v>
      </c>
      <c r="I1698" s="491">
        <f>'UPH-TNG'!$I$20</f>
        <v>98000</v>
      </c>
      <c r="J1698" s="491">
        <f>ROUND(H1698*I1698,2)</f>
        <v>980</v>
      </c>
      <c r="K1698" s="496"/>
      <c r="L1698" s="493">
        <v>1</v>
      </c>
      <c r="M1698" s="493" t="s">
        <v>422</v>
      </c>
      <c r="N1698" s="491">
        <f t="shared" si="110"/>
        <v>980</v>
      </c>
      <c r="O1698" s="631"/>
      <c r="Q1698" s="595"/>
      <c r="R1698" s="484"/>
      <c r="S1698" s="595"/>
      <c r="T1698" s="595"/>
      <c r="U1698" s="595"/>
    </row>
    <row r="1699" spans="2:21" s="505" customFormat="1" ht="14.1" customHeight="1">
      <c r="B1699" s="951"/>
      <c r="C1699" s="600"/>
      <c r="D1699" s="602"/>
      <c r="E1699" s="612"/>
      <c r="F1699" s="613"/>
      <c r="G1699" s="610"/>
      <c r="H1699" s="614"/>
      <c r="I1699" s="504"/>
      <c r="J1699" s="495"/>
      <c r="K1699" s="494">
        <f>SUM(J1697:J1698)</f>
        <v>10480</v>
      </c>
      <c r="L1699" s="493"/>
      <c r="M1699" s="494"/>
      <c r="N1699" s="491">
        <f t="shared" si="110"/>
        <v>0</v>
      </c>
      <c r="O1699" s="631"/>
      <c r="Q1699" s="595"/>
      <c r="R1699" s="484"/>
      <c r="S1699" s="595"/>
      <c r="T1699" s="595"/>
      <c r="U1699" s="595"/>
    </row>
    <row r="1700" spans="2:21" s="505" customFormat="1" ht="14.1" customHeight="1">
      <c r="B1700" s="951"/>
      <c r="C1700" s="598" t="s">
        <v>215</v>
      </c>
      <c r="D1700" s="603" t="s">
        <v>212</v>
      </c>
      <c r="E1700" s="615"/>
      <c r="F1700" s="615"/>
      <c r="G1700" s="605"/>
      <c r="H1700" s="616"/>
      <c r="I1700" s="617"/>
      <c r="J1700" s="491"/>
      <c r="K1700" s="492"/>
      <c r="L1700" s="493"/>
      <c r="M1700" s="494"/>
      <c r="N1700" s="491">
        <f t="shared" si="110"/>
        <v>0</v>
      </c>
      <c r="O1700" s="631"/>
      <c r="Q1700" s="595"/>
      <c r="R1700" s="484"/>
      <c r="S1700" s="595"/>
      <c r="T1700" s="595"/>
      <c r="U1700" s="595"/>
    </row>
    <row r="1701" spans="2:21" s="505" customFormat="1" ht="14.1" customHeight="1">
      <c r="B1701" s="951"/>
      <c r="C1701" s="600"/>
      <c r="D1701" s="602"/>
      <c r="E1701" s="612"/>
      <c r="F1701" s="613"/>
      <c r="G1701" s="610"/>
      <c r="H1701" s="614"/>
      <c r="I1701" s="618"/>
      <c r="J1701" s="495"/>
      <c r="K1701" s="494">
        <f>SUM(J1700:J1700)</f>
        <v>0</v>
      </c>
      <c r="L1701" s="493"/>
      <c r="M1701" s="494"/>
      <c r="N1701" s="491">
        <f t="shared" si="110"/>
        <v>0</v>
      </c>
      <c r="O1701" s="631"/>
      <c r="Q1701" s="595"/>
      <c r="R1701" s="484"/>
      <c r="S1701" s="595"/>
      <c r="T1701" s="595"/>
      <c r="U1701" s="595"/>
    </row>
    <row r="1702" spans="2:21" s="505" customFormat="1" ht="14.1" customHeight="1">
      <c r="B1702" s="951"/>
      <c r="C1702" s="605" t="s">
        <v>216</v>
      </c>
      <c r="D1702" s="619" t="s">
        <v>219</v>
      </c>
      <c r="E1702" s="613"/>
      <c r="F1702" s="613"/>
      <c r="G1702" s="610"/>
      <c r="H1702" s="614"/>
      <c r="I1702" s="618"/>
      <c r="J1702" s="497" t="s">
        <v>220</v>
      </c>
      <c r="K1702" s="494">
        <f>K1696+K1699+K1701</f>
        <v>39480</v>
      </c>
      <c r="L1702" s="620">
        <f>N1702/K1702</f>
        <v>0.43642350557244175</v>
      </c>
      <c r="M1702" s="497"/>
      <c r="N1702" s="498">
        <f>SUM(N1691:N1701)</f>
        <v>17230</v>
      </c>
      <c r="O1702" s="631"/>
      <c r="Q1702" s="595"/>
      <c r="R1702" s="484"/>
      <c r="S1702" s="595"/>
      <c r="T1702" s="595"/>
      <c r="U1702" s="595"/>
    </row>
    <row r="1703" spans="2:21" s="505" customFormat="1" ht="14.1" customHeight="1">
      <c r="B1703" s="951"/>
      <c r="C1703" s="600" t="s">
        <v>217</v>
      </c>
      <c r="D1703" s="619" t="s">
        <v>221</v>
      </c>
      <c r="E1703" s="613"/>
      <c r="F1703" s="499">
        <f>$F$48</f>
        <v>0.1</v>
      </c>
      <c r="G1703" s="605" t="s">
        <v>168</v>
      </c>
      <c r="H1703" s="499">
        <f>$H$48</f>
        <v>0.02</v>
      </c>
      <c r="I1703" s="621" t="s">
        <v>167</v>
      </c>
      <c r="J1703" s="494" t="s">
        <v>216</v>
      </c>
      <c r="K1703" s="500">
        <f>ROUND((K1702*(F1703+H1703)),2)</f>
        <v>4737.6000000000004</v>
      </c>
      <c r="L1703" s="494"/>
      <c r="M1703" s="494"/>
      <c r="N1703" s="494"/>
      <c r="O1703" s="631"/>
      <c r="Q1703" s="595"/>
      <c r="R1703" s="484"/>
      <c r="S1703" s="595"/>
      <c r="T1703" s="595"/>
      <c r="U1703" s="595"/>
    </row>
    <row r="1704" spans="2:21" s="505" customFormat="1" ht="14.1" customHeight="1">
      <c r="B1704" s="951"/>
      <c r="C1704" s="622" t="s">
        <v>222</v>
      </c>
      <c r="D1704" s="623" t="s">
        <v>76</v>
      </c>
      <c r="E1704" s="624"/>
      <c r="F1704" s="624"/>
      <c r="G1704" s="624"/>
      <c r="H1704" s="625"/>
      <c r="I1704" s="624"/>
      <c r="J1704" s="626" t="s">
        <v>226</v>
      </c>
      <c r="K1704" s="627">
        <f>SUM(K1702:K1703)</f>
        <v>44217.599999999999</v>
      </c>
      <c r="L1704" s="620"/>
      <c r="M1704" s="626"/>
      <c r="N1704" s="635"/>
      <c r="O1704" s="631"/>
      <c r="Q1704" s="595"/>
      <c r="R1704" s="484"/>
      <c r="S1704" s="595"/>
      <c r="T1704" s="595"/>
      <c r="U1704" s="595"/>
    </row>
    <row r="1705" spans="2:21">
      <c r="Q1705" s="595"/>
      <c r="R1705" s="484"/>
      <c r="S1705" s="595"/>
      <c r="T1705" s="595"/>
      <c r="U1705" s="595"/>
    </row>
    <row r="1706" spans="2:21" s="505" customFormat="1" ht="14.1" hidden="1" customHeight="1">
      <c r="B1706" s="951">
        <f>B1689+1</f>
        <v>87</v>
      </c>
      <c r="C1706" s="488"/>
      <c r="D1706" s="709" t="s">
        <v>416</v>
      </c>
      <c r="E1706" s="485"/>
      <c r="F1706" s="485"/>
      <c r="G1706" s="485"/>
      <c r="H1706" s="488"/>
      <c r="I1706" s="485"/>
      <c r="J1706" s="485"/>
      <c r="K1706" s="591" t="s">
        <v>239</v>
      </c>
      <c r="L1706" s="591"/>
      <c r="M1706" s="591"/>
      <c r="N1706" s="591"/>
      <c r="O1706" s="631" t="str">
        <f>D1707</f>
        <v>bh</v>
      </c>
      <c r="P1706" s="595">
        <f>K1721</f>
        <v>160820.79999999999</v>
      </c>
      <c r="Q1706" s="593">
        <f>L1719</f>
        <v>0.25323838707430879</v>
      </c>
      <c r="R1706" s="484">
        <f>N1719</f>
        <v>36362.5</v>
      </c>
      <c r="S1706" s="594"/>
      <c r="T1706" s="484"/>
      <c r="U1706" s="593"/>
    </row>
    <row r="1707" spans="2:21" s="505" customFormat="1" ht="14.1" hidden="1" customHeight="1">
      <c r="B1707" s="951"/>
      <c r="C1707" s="488"/>
      <c r="D1707" s="485" t="s">
        <v>45</v>
      </c>
      <c r="E1707" s="485"/>
      <c r="F1707" s="485"/>
      <c r="G1707" s="485"/>
      <c r="H1707" s="488"/>
      <c r="I1707" s="485"/>
      <c r="J1707" s="485"/>
      <c r="K1707" s="485"/>
      <c r="L1707" s="485"/>
      <c r="M1707" s="485"/>
      <c r="N1707" s="485"/>
      <c r="O1707" s="631"/>
      <c r="Q1707" s="595"/>
      <c r="R1707" s="484"/>
      <c r="S1707" s="595"/>
      <c r="T1707" s="595"/>
      <c r="U1707" s="595"/>
    </row>
    <row r="1708" spans="2:21" s="505" customFormat="1" ht="14.1" hidden="1" customHeight="1">
      <c r="B1708" s="951"/>
      <c r="C1708" s="596"/>
      <c r="D1708" s="977" t="s">
        <v>55</v>
      </c>
      <c r="E1708" s="978"/>
      <c r="F1708" s="597"/>
      <c r="G1708" s="981" t="s">
        <v>56</v>
      </c>
      <c r="H1708" s="981" t="s">
        <v>57</v>
      </c>
      <c r="I1708" s="596" t="s">
        <v>58</v>
      </c>
      <c r="J1708" s="596" t="s">
        <v>59</v>
      </c>
      <c r="K1708" s="596" t="s">
        <v>102</v>
      </c>
      <c r="L1708" s="596" t="s">
        <v>418</v>
      </c>
      <c r="M1708" s="596" t="s">
        <v>419</v>
      </c>
      <c r="N1708" s="596" t="s">
        <v>59</v>
      </c>
      <c r="O1708" s="631"/>
      <c r="Q1708" s="595"/>
      <c r="R1708" s="484"/>
      <c r="S1708" s="595"/>
      <c r="T1708" s="595"/>
      <c r="U1708" s="595"/>
    </row>
    <row r="1709" spans="2:21" s="505" customFormat="1" ht="14.1" hidden="1" customHeight="1">
      <c r="B1709" s="951"/>
      <c r="C1709" s="598" t="s">
        <v>227</v>
      </c>
      <c r="D1709" s="979"/>
      <c r="E1709" s="980"/>
      <c r="F1709" s="599"/>
      <c r="G1709" s="982"/>
      <c r="H1709" s="982"/>
      <c r="I1709" s="598" t="s">
        <v>60</v>
      </c>
      <c r="J1709" s="598" t="s">
        <v>61</v>
      </c>
      <c r="K1709" s="598" t="s">
        <v>61</v>
      </c>
      <c r="L1709" s="598" t="s">
        <v>421</v>
      </c>
      <c r="M1709" s="598"/>
      <c r="N1709" s="598" t="s">
        <v>423</v>
      </c>
      <c r="O1709" s="631"/>
      <c r="Q1709" s="595"/>
      <c r="R1709" s="484"/>
      <c r="S1709" s="595"/>
      <c r="T1709" s="595"/>
      <c r="U1709" s="595"/>
    </row>
    <row r="1710" spans="2:21" s="505" customFormat="1" ht="14.1" hidden="1" customHeight="1">
      <c r="B1710" s="951"/>
      <c r="C1710" s="600"/>
      <c r="D1710" s="969"/>
      <c r="E1710" s="970"/>
      <c r="F1710" s="601"/>
      <c r="G1710" s="973"/>
      <c r="H1710" s="973"/>
      <c r="I1710" s="600" t="s">
        <v>61</v>
      </c>
      <c r="J1710" s="602"/>
      <c r="K1710" s="602"/>
      <c r="L1710" s="602"/>
      <c r="M1710" s="602"/>
      <c r="N1710" s="600" t="s">
        <v>61</v>
      </c>
      <c r="O1710" s="631"/>
      <c r="Q1710" s="595"/>
      <c r="R1710" s="484"/>
      <c r="S1710" s="595"/>
      <c r="T1710" s="595"/>
      <c r="U1710" s="595"/>
    </row>
    <row r="1711" spans="2:21" s="505" customFormat="1" ht="14.1" hidden="1" customHeight="1">
      <c r="B1711" s="951"/>
      <c r="C1711" s="596" t="s">
        <v>213</v>
      </c>
      <c r="D1711" s="603" t="s">
        <v>62</v>
      </c>
      <c r="E1711" s="710" t="s">
        <v>414</v>
      </c>
      <c r="F1711" s="710"/>
      <c r="G1711" s="605" t="s">
        <v>45</v>
      </c>
      <c r="H1711" s="711">
        <v>1</v>
      </c>
      <c r="I1711" s="491">
        <f>'UPH-TNG'!I137</f>
        <v>98600</v>
      </c>
      <c r="J1711" s="491">
        <f>ROUND(H1711*I1711,2)</f>
        <v>98600</v>
      </c>
      <c r="K1711" s="492"/>
      <c r="L1711" s="501">
        <v>0</v>
      </c>
      <c r="M1711" s="494"/>
      <c r="N1711" s="491">
        <f t="shared" ref="N1711:N1718" si="111">L1711*J1711</f>
        <v>0</v>
      </c>
      <c r="O1711" s="631"/>
      <c r="Q1711" s="595"/>
      <c r="R1711" s="484"/>
      <c r="S1711" s="595"/>
      <c r="T1711" s="595"/>
      <c r="U1711" s="595"/>
    </row>
    <row r="1712" spans="2:21" s="505" customFormat="1" ht="14.1" hidden="1" customHeight="1">
      <c r="B1712" s="951"/>
      <c r="C1712" s="655"/>
      <c r="D1712" s="685"/>
      <c r="E1712" s="722" t="s">
        <v>411</v>
      </c>
      <c r="F1712" s="722"/>
      <c r="G1712" s="698" t="s">
        <v>412</v>
      </c>
      <c r="H1712" s="723">
        <v>1</v>
      </c>
      <c r="I1712" s="530">
        <f>SUM(J1711)*35%</f>
        <v>34510</v>
      </c>
      <c r="J1712" s="522">
        <f>ROUND(H1712*I1712,2)</f>
        <v>34510</v>
      </c>
      <c r="K1712" s="523"/>
      <c r="L1712" s="501">
        <v>0.75</v>
      </c>
      <c r="M1712" s="494" t="s">
        <v>430</v>
      </c>
      <c r="N1712" s="491">
        <f t="shared" si="111"/>
        <v>25882.5</v>
      </c>
      <c r="O1712" s="631"/>
      <c r="Q1712" s="595"/>
      <c r="R1712" s="484"/>
      <c r="S1712" s="595"/>
      <c r="T1712" s="595"/>
      <c r="U1712" s="595"/>
    </row>
    <row r="1713" spans="2:21" s="505" customFormat="1" ht="14.1" hidden="1" customHeight="1">
      <c r="B1713" s="951"/>
      <c r="C1713" s="598"/>
      <c r="D1713" s="607"/>
      <c r="E1713" s="712"/>
      <c r="F1713" s="713"/>
      <c r="G1713" s="610"/>
      <c r="H1713" s="714"/>
      <c r="I1713" s="504"/>
      <c r="J1713" s="495"/>
      <c r="K1713" s="491">
        <f>SUM(J1711:J1712)</f>
        <v>133110</v>
      </c>
      <c r="L1713" s="493"/>
      <c r="M1713" s="494"/>
      <c r="N1713" s="491">
        <f t="shared" si="111"/>
        <v>0</v>
      </c>
      <c r="O1713" s="631"/>
      <c r="Q1713" s="595"/>
      <c r="R1713" s="484"/>
      <c r="S1713" s="595"/>
      <c r="T1713" s="595"/>
      <c r="U1713" s="595"/>
    </row>
    <row r="1714" spans="2:21" s="505" customFormat="1" ht="14.1" hidden="1" customHeight="1">
      <c r="B1714" s="951"/>
      <c r="C1714" s="596" t="s">
        <v>214</v>
      </c>
      <c r="D1714" s="603" t="s">
        <v>63</v>
      </c>
      <c r="E1714" s="710" t="s">
        <v>5</v>
      </c>
      <c r="F1714" s="710"/>
      <c r="G1714" s="605" t="s">
        <v>66</v>
      </c>
      <c r="H1714" s="711">
        <v>0.1</v>
      </c>
      <c r="I1714" s="491">
        <f>'UPH-TNG'!$I$26</f>
        <v>95000</v>
      </c>
      <c r="J1714" s="491">
        <f>ROUND(H1714*I1714,2)</f>
        <v>9500</v>
      </c>
      <c r="K1714" s="492"/>
      <c r="L1714" s="493">
        <v>1</v>
      </c>
      <c r="M1714" s="493" t="s">
        <v>422</v>
      </c>
      <c r="N1714" s="491">
        <f t="shared" si="111"/>
        <v>9500</v>
      </c>
      <c r="O1714" s="631"/>
      <c r="Q1714" s="595"/>
      <c r="R1714" s="484"/>
      <c r="S1714" s="595"/>
      <c r="T1714" s="595"/>
      <c r="U1714" s="595"/>
    </row>
    <row r="1715" spans="2:21" s="505" customFormat="1" ht="14.1" hidden="1" customHeight="1">
      <c r="B1715" s="951"/>
      <c r="C1715" s="598"/>
      <c r="D1715" s="607"/>
      <c r="E1715" s="710" t="s">
        <v>65</v>
      </c>
      <c r="F1715" s="710"/>
      <c r="G1715" s="605" t="s">
        <v>66</v>
      </c>
      <c r="H1715" s="711">
        <v>0.01</v>
      </c>
      <c r="I1715" s="491">
        <f>'UPH-TNG'!$I$20</f>
        <v>98000</v>
      </c>
      <c r="J1715" s="491">
        <f>ROUND(H1715*I1715,2)</f>
        <v>980</v>
      </c>
      <c r="K1715" s="496"/>
      <c r="L1715" s="493">
        <v>1</v>
      </c>
      <c r="M1715" s="493" t="s">
        <v>422</v>
      </c>
      <c r="N1715" s="491">
        <f t="shared" si="111"/>
        <v>980</v>
      </c>
      <c r="O1715" s="631"/>
      <c r="Q1715" s="595"/>
      <c r="R1715" s="484"/>
      <c r="S1715" s="595"/>
      <c r="T1715" s="595"/>
      <c r="U1715" s="595"/>
    </row>
    <row r="1716" spans="2:21" s="505" customFormat="1" ht="14.1" hidden="1" customHeight="1">
      <c r="B1716" s="951"/>
      <c r="C1716" s="600"/>
      <c r="D1716" s="602"/>
      <c r="E1716" s="612"/>
      <c r="F1716" s="613"/>
      <c r="G1716" s="610"/>
      <c r="H1716" s="614"/>
      <c r="I1716" s="504"/>
      <c r="J1716" s="495"/>
      <c r="K1716" s="494">
        <f>SUM(J1714:J1715)</f>
        <v>10480</v>
      </c>
      <c r="L1716" s="493"/>
      <c r="M1716" s="494"/>
      <c r="N1716" s="491">
        <f t="shared" si="111"/>
        <v>0</v>
      </c>
      <c r="O1716" s="631"/>
      <c r="Q1716" s="595"/>
      <c r="R1716" s="484"/>
      <c r="S1716" s="595"/>
      <c r="T1716" s="595"/>
      <c r="U1716" s="595"/>
    </row>
    <row r="1717" spans="2:21" s="505" customFormat="1" ht="14.1" hidden="1" customHeight="1">
      <c r="B1717" s="951"/>
      <c r="C1717" s="598" t="s">
        <v>215</v>
      </c>
      <c r="D1717" s="603" t="s">
        <v>212</v>
      </c>
      <c r="E1717" s="615"/>
      <c r="F1717" s="615"/>
      <c r="G1717" s="605"/>
      <c r="H1717" s="616"/>
      <c r="I1717" s="617"/>
      <c r="J1717" s="491"/>
      <c r="K1717" s="492"/>
      <c r="L1717" s="493"/>
      <c r="M1717" s="494"/>
      <c r="N1717" s="491">
        <f t="shared" si="111"/>
        <v>0</v>
      </c>
      <c r="O1717" s="631"/>
      <c r="Q1717" s="595"/>
      <c r="R1717" s="484"/>
      <c r="S1717" s="595"/>
      <c r="T1717" s="595"/>
      <c r="U1717" s="595"/>
    </row>
    <row r="1718" spans="2:21" s="505" customFormat="1" ht="14.1" hidden="1" customHeight="1">
      <c r="B1718" s="951"/>
      <c r="C1718" s="600"/>
      <c r="D1718" s="602"/>
      <c r="E1718" s="612"/>
      <c r="F1718" s="613"/>
      <c r="G1718" s="610"/>
      <c r="H1718" s="614"/>
      <c r="I1718" s="618"/>
      <c r="J1718" s="495"/>
      <c r="K1718" s="494">
        <f>SUM(J1717:J1717)</f>
        <v>0</v>
      </c>
      <c r="L1718" s="493"/>
      <c r="M1718" s="494"/>
      <c r="N1718" s="491">
        <f t="shared" si="111"/>
        <v>0</v>
      </c>
      <c r="O1718" s="631"/>
      <c r="Q1718" s="595"/>
      <c r="R1718" s="484"/>
      <c r="S1718" s="595"/>
      <c r="T1718" s="595"/>
      <c r="U1718" s="595"/>
    </row>
    <row r="1719" spans="2:21" s="505" customFormat="1" ht="14.1" hidden="1" customHeight="1">
      <c r="B1719" s="951"/>
      <c r="C1719" s="605" t="s">
        <v>216</v>
      </c>
      <c r="D1719" s="619" t="s">
        <v>219</v>
      </c>
      <c r="E1719" s="613"/>
      <c r="F1719" s="613"/>
      <c r="G1719" s="610"/>
      <c r="H1719" s="614"/>
      <c r="I1719" s="618"/>
      <c r="J1719" s="497" t="s">
        <v>220</v>
      </c>
      <c r="K1719" s="494">
        <f>K1713+K1716+K1718</f>
        <v>143590</v>
      </c>
      <c r="L1719" s="620">
        <f>N1719/K1719</f>
        <v>0.25323838707430879</v>
      </c>
      <c r="M1719" s="497"/>
      <c r="N1719" s="498">
        <f>SUM(N1708:N1718)</f>
        <v>36362.5</v>
      </c>
      <c r="O1719" s="631"/>
      <c r="Q1719" s="595"/>
      <c r="R1719" s="484"/>
      <c r="S1719" s="595"/>
      <c r="T1719" s="595"/>
      <c r="U1719" s="595"/>
    </row>
    <row r="1720" spans="2:21" s="505" customFormat="1" ht="14.1" hidden="1" customHeight="1">
      <c r="B1720" s="951"/>
      <c r="C1720" s="600" t="s">
        <v>217</v>
      </c>
      <c r="D1720" s="619" t="s">
        <v>221</v>
      </c>
      <c r="E1720" s="613"/>
      <c r="F1720" s="499">
        <f>$F$48</f>
        <v>0.1</v>
      </c>
      <c r="G1720" s="605" t="s">
        <v>168</v>
      </c>
      <c r="H1720" s="499">
        <f>$H$48</f>
        <v>0.02</v>
      </c>
      <c r="I1720" s="621" t="s">
        <v>167</v>
      </c>
      <c r="J1720" s="494" t="s">
        <v>216</v>
      </c>
      <c r="K1720" s="500">
        <f>ROUND((K1719*(F1720+H1720)),2)</f>
        <v>17230.8</v>
      </c>
      <c r="L1720" s="494"/>
      <c r="M1720" s="494"/>
      <c r="N1720" s="494"/>
      <c r="O1720" s="631"/>
      <c r="Q1720" s="595"/>
      <c r="R1720" s="484"/>
      <c r="S1720" s="595"/>
      <c r="T1720" s="595"/>
      <c r="U1720" s="595"/>
    </row>
    <row r="1721" spans="2:21" s="505" customFormat="1" ht="14.1" hidden="1" customHeight="1">
      <c r="B1721" s="951"/>
      <c r="C1721" s="622" t="s">
        <v>222</v>
      </c>
      <c r="D1721" s="623" t="s">
        <v>76</v>
      </c>
      <c r="E1721" s="624"/>
      <c r="F1721" s="624"/>
      <c r="G1721" s="624"/>
      <c r="H1721" s="625"/>
      <c r="I1721" s="624"/>
      <c r="J1721" s="626" t="s">
        <v>226</v>
      </c>
      <c r="K1721" s="627">
        <f>SUM(K1719:K1720)</f>
        <v>160820.79999999999</v>
      </c>
      <c r="L1721" s="620"/>
      <c r="M1721" s="626"/>
      <c r="N1721" s="635"/>
      <c r="O1721" s="631"/>
      <c r="Q1721" s="595"/>
      <c r="R1721" s="484"/>
      <c r="S1721" s="595"/>
      <c r="T1721" s="595"/>
      <c r="U1721" s="595"/>
    </row>
    <row r="1722" spans="2:21" hidden="1">
      <c r="Q1722" s="595"/>
      <c r="R1722" s="484"/>
      <c r="S1722" s="595"/>
      <c r="T1722" s="595"/>
      <c r="U1722" s="595"/>
    </row>
    <row r="1723" spans="2:21" s="298" customFormat="1" ht="14.1" customHeight="1">
      <c r="B1723" s="951">
        <f>B1706+1</f>
        <v>88</v>
      </c>
      <c r="C1723" s="488"/>
      <c r="D1723" s="590" t="s">
        <v>677</v>
      </c>
      <c r="E1723" s="485"/>
      <c r="F1723" s="485"/>
      <c r="G1723" s="485"/>
      <c r="H1723" s="488"/>
      <c r="I1723" s="485"/>
      <c r="J1723" s="485"/>
      <c r="K1723" s="591" t="s">
        <v>239</v>
      </c>
      <c r="L1723" s="591"/>
      <c r="M1723" s="591"/>
      <c r="N1723" s="591"/>
      <c r="O1723" s="302" t="str">
        <f>D1724</f>
        <v>ttk</v>
      </c>
      <c r="P1723" s="592">
        <f>K1739</f>
        <v>245560</v>
      </c>
      <c r="Q1723" s="593">
        <f>L1737</f>
        <v>0.43329532497149376</v>
      </c>
      <c r="R1723" s="484">
        <f>N1737</f>
        <v>95000</v>
      </c>
      <c r="S1723" s="594"/>
      <c r="T1723" s="484"/>
      <c r="U1723" s="593"/>
    </row>
    <row r="1724" spans="2:21" s="298" customFormat="1" ht="14.1" customHeight="1">
      <c r="B1724" s="951"/>
      <c r="C1724" s="488"/>
      <c r="D1724" s="485" t="s">
        <v>140</v>
      </c>
      <c r="E1724" s="485"/>
      <c r="F1724" s="485"/>
      <c r="G1724" s="485"/>
      <c r="H1724" s="488"/>
      <c r="I1724" s="485"/>
      <c r="J1724" s="485"/>
      <c r="K1724" s="485"/>
      <c r="L1724" s="485"/>
      <c r="M1724" s="485"/>
      <c r="N1724" s="485"/>
      <c r="O1724" s="302"/>
      <c r="Q1724" s="595"/>
      <c r="R1724" s="484"/>
      <c r="S1724" s="595"/>
      <c r="T1724" s="595"/>
      <c r="U1724" s="595"/>
    </row>
    <row r="1725" spans="2:21" s="298" customFormat="1" ht="14.1" customHeight="1">
      <c r="B1725" s="951"/>
      <c r="C1725" s="683"/>
      <c r="D1725" s="965" t="s">
        <v>55</v>
      </c>
      <c r="E1725" s="966"/>
      <c r="F1725" s="684"/>
      <c r="G1725" s="971" t="s">
        <v>56</v>
      </c>
      <c r="H1725" s="971" t="s">
        <v>57</v>
      </c>
      <c r="I1725" s="683" t="s">
        <v>58</v>
      </c>
      <c r="J1725" s="683" t="s">
        <v>59</v>
      </c>
      <c r="K1725" s="683" t="s">
        <v>102</v>
      </c>
      <c r="L1725" s="596" t="s">
        <v>418</v>
      </c>
      <c r="M1725" s="596" t="s">
        <v>419</v>
      </c>
      <c r="N1725" s="596" t="s">
        <v>59</v>
      </c>
      <c r="O1725" s="302"/>
      <c r="Q1725" s="595"/>
      <c r="R1725" s="484"/>
      <c r="S1725" s="595"/>
      <c r="T1725" s="595"/>
      <c r="U1725" s="595"/>
    </row>
    <row r="1726" spans="2:21" s="298" customFormat="1" ht="14.1" customHeight="1">
      <c r="B1726" s="951"/>
      <c r="C1726" s="655" t="s">
        <v>227</v>
      </c>
      <c r="D1726" s="967"/>
      <c r="E1726" s="968"/>
      <c r="F1726" s="654"/>
      <c r="G1726" s="972"/>
      <c r="H1726" s="972"/>
      <c r="I1726" s="655" t="s">
        <v>60</v>
      </c>
      <c r="J1726" s="655" t="s">
        <v>61</v>
      </c>
      <c r="K1726" s="655" t="s">
        <v>61</v>
      </c>
      <c r="L1726" s="598" t="s">
        <v>421</v>
      </c>
      <c r="M1726" s="598"/>
      <c r="N1726" s="598" t="s">
        <v>423</v>
      </c>
      <c r="O1726" s="302"/>
      <c r="Q1726" s="595"/>
      <c r="R1726" s="484"/>
      <c r="S1726" s="595"/>
      <c r="T1726" s="595"/>
      <c r="U1726" s="595"/>
    </row>
    <row r="1727" spans="2:21" s="298" customFormat="1" ht="14.1" customHeight="1">
      <c r="B1727" s="951"/>
      <c r="C1727" s="600"/>
      <c r="D1727" s="969"/>
      <c r="E1727" s="970"/>
      <c r="F1727" s="601"/>
      <c r="G1727" s="973"/>
      <c r="H1727" s="973"/>
      <c r="I1727" s="600" t="s">
        <v>61</v>
      </c>
      <c r="J1727" s="602"/>
      <c r="K1727" s="602"/>
      <c r="L1727" s="602"/>
      <c r="M1727" s="602"/>
      <c r="N1727" s="600" t="s">
        <v>61</v>
      </c>
      <c r="O1727" s="302"/>
      <c r="Q1727" s="595"/>
      <c r="R1727" s="484"/>
      <c r="S1727" s="595"/>
      <c r="T1727" s="595"/>
      <c r="U1727" s="595"/>
    </row>
    <row r="1728" spans="2:21" s="298" customFormat="1" ht="14.1" customHeight="1">
      <c r="B1728" s="951"/>
      <c r="C1728" s="683" t="s">
        <v>213</v>
      </c>
      <c r="D1728" s="694" t="s">
        <v>62</v>
      </c>
      <c r="E1728" s="722" t="s">
        <v>293</v>
      </c>
      <c r="F1728" s="722"/>
      <c r="G1728" s="698" t="s">
        <v>50</v>
      </c>
      <c r="H1728" s="723">
        <v>1</v>
      </c>
      <c r="I1728" s="522">
        <f>'UPH-TNG'!I145</f>
        <v>8000</v>
      </c>
      <c r="J1728" s="522">
        <f>ROUND(H1728*I1728,2)</f>
        <v>8000</v>
      </c>
      <c r="K1728" s="523"/>
      <c r="L1728" s="501">
        <v>0</v>
      </c>
      <c r="M1728" s="494"/>
      <c r="N1728" s="491">
        <f t="shared" ref="N1728:N1736" si="112">L1728*J1728</f>
        <v>0</v>
      </c>
      <c r="O1728" s="302"/>
      <c r="Q1728" s="595"/>
      <c r="R1728" s="484"/>
      <c r="S1728" s="595"/>
      <c r="T1728" s="595"/>
      <c r="U1728" s="595"/>
    </row>
    <row r="1729" spans="2:21" s="298" customFormat="1" ht="14.1" customHeight="1">
      <c r="B1729" s="951"/>
      <c r="C1729" s="670"/>
      <c r="D1729" s="666"/>
      <c r="E1729" s="736" t="s">
        <v>461</v>
      </c>
      <c r="F1729" s="736"/>
      <c r="G1729" s="673" t="s">
        <v>32</v>
      </c>
      <c r="H1729" s="737">
        <v>5</v>
      </c>
      <c r="I1729" s="532">
        <f>'UPH-TNG'!I68</f>
        <v>10000</v>
      </c>
      <c r="J1729" s="522">
        <f t="shared" ref="J1729:J1731" si="113">ROUND(H1729*I1729,2)</f>
        <v>50000</v>
      </c>
      <c r="K1729" s="535"/>
      <c r="L1729" s="516">
        <f>L1621</f>
        <v>0.85599999999999998</v>
      </c>
      <c r="M1729" s="494" t="s">
        <v>429</v>
      </c>
      <c r="N1729" s="532"/>
      <c r="O1729" s="302"/>
      <c r="Q1729" s="595"/>
      <c r="R1729" s="484"/>
      <c r="S1729" s="595"/>
      <c r="T1729" s="595"/>
      <c r="U1729" s="595"/>
    </row>
    <row r="1730" spans="2:21" s="298" customFormat="1" ht="14.1" customHeight="1">
      <c r="B1730" s="951"/>
      <c r="C1730" s="670"/>
      <c r="D1730" s="666"/>
      <c r="E1730" s="736" t="s">
        <v>437</v>
      </c>
      <c r="F1730" s="736"/>
      <c r="G1730" s="673" t="s">
        <v>45</v>
      </c>
      <c r="H1730" s="737">
        <v>5</v>
      </c>
      <c r="I1730" s="532">
        <f>'UPH-TNG'!I83</f>
        <v>250</v>
      </c>
      <c r="J1730" s="522">
        <f t="shared" si="113"/>
        <v>1250</v>
      </c>
      <c r="K1730" s="535"/>
      <c r="L1730" s="516">
        <v>0</v>
      </c>
      <c r="M1730" s="517"/>
      <c r="N1730" s="532"/>
      <c r="O1730" s="302"/>
      <c r="Q1730" s="595"/>
      <c r="R1730" s="484"/>
      <c r="S1730" s="595"/>
      <c r="T1730" s="595"/>
      <c r="U1730" s="595"/>
    </row>
    <row r="1731" spans="2:21" s="298" customFormat="1" ht="14.1" customHeight="1">
      <c r="B1731" s="951"/>
      <c r="C1731" s="670"/>
      <c r="D1731" s="666"/>
      <c r="E1731" s="736" t="s">
        <v>496</v>
      </c>
      <c r="F1731" s="736"/>
      <c r="G1731" s="673" t="s">
        <v>45</v>
      </c>
      <c r="H1731" s="737">
        <v>1</v>
      </c>
      <c r="I1731" s="532">
        <f>'UPH-TNG'!I94</f>
        <v>65000</v>
      </c>
      <c r="J1731" s="522">
        <f t="shared" si="113"/>
        <v>65000</v>
      </c>
      <c r="K1731" s="535"/>
      <c r="L1731" s="516">
        <v>0</v>
      </c>
      <c r="M1731" s="517"/>
      <c r="N1731" s="532"/>
      <c r="O1731" s="302"/>
      <c r="Q1731" s="595"/>
      <c r="R1731" s="484"/>
      <c r="S1731" s="595"/>
      <c r="T1731" s="595"/>
      <c r="U1731" s="595"/>
    </row>
    <row r="1732" spans="2:21" s="298" customFormat="1" ht="14.1" customHeight="1">
      <c r="B1732" s="951"/>
      <c r="C1732" s="655"/>
      <c r="D1732" s="685"/>
      <c r="E1732" s="724"/>
      <c r="F1732" s="725"/>
      <c r="G1732" s="696"/>
      <c r="H1732" s="726"/>
      <c r="I1732" s="533"/>
      <c r="J1732" s="527"/>
      <c r="K1732" s="522">
        <f>SUM(J1728:J1731)</f>
        <v>124250</v>
      </c>
      <c r="L1732" s="493"/>
      <c r="M1732" s="494"/>
      <c r="N1732" s="491">
        <f t="shared" si="112"/>
        <v>0</v>
      </c>
      <c r="O1732" s="302"/>
      <c r="Q1732" s="595"/>
      <c r="R1732" s="484"/>
      <c r="S1732" s="595"/>
      <c r="T1732" s="595"/>
      <c r="U1732" s="595"/>
    </row>
    <row r="1733" spans="2:21" s="298" customFormat="1" ht="14.1" customHeight="1">
      <c r="B1733" s="951"/>
      <c r="C1733" s="683" t="s">
        <v>214</v>
      </c>
      <c r="D1733" s="694" t="s">
        <v>63</v>
      </c>
      <c r="E1733" s="722" t="s">
        <v>5</v>
      </c>
      <c r="F1733" s="722"/>
      <c r="G1733" s="698" t="s">
        <v>66</v>
      </c>
      <c r="H1733" s="723">
        <v>1</v>
      </c>
      <c r="I1733" s="512">
        <f>'UPH-TNG'!$I$26</f>
        <v>95000</v>
      </c>
      <c r="J1733" s="522">
        <f>ROUND(H1733*I1733,2)</f>
        <v>95000</v>
      </c>
      <c r="K1733" s="523"/>
      <c r="L1733" s="493">
        <v>1</v>
      </c>
      <c r="M1733" s="493" t="s">
        <v>422</v>
      </c>
      <c r="N1733" s="491">
        <f t="shared" si="112"/>
        <v>95000</v>
      </c>
      <c r="O1733" s="302"/>
      <c r="Q1733" s="595"/>
      <c r="R1733" s="484"/>
      <c r="S1733" s="595"/>
      <c r="T1733" s="595"/>
      <c r="U1733" s="595"/>
    </row>
    <row r="1734" spans="2:21" s="298" customFormat="1" ht="14.1" customHeight="1">
      <c r="B1734" s="951"/>
      <c r="C1734" s="600"/>
      <c r="D1734" s="602"/>
      <c r="E1734" s="695"/>
      <c r="F1734" s="691"/>
      <c r="G1734" s="696"/>
      <c r="H1734" s="697"/>
      <c r="I1734" s="533"/>
      <c r="J1734" s="527"/>
      <c r="K1734" s="528">
        <f>SUM(J1733:J1733)</f>
        <v>95000</v>
      </c>
      <c r="L1734" s="493"/>
      <c r="M1734" s="494"/>
      <c r="N1734" s="491">
        <f t="shared" si="112"/>
        <v>0</v>
      </c>
      <c r="O1734" s="302"/>
      <c r="Q1734" s="595"/>
      <c r="R1734" s="484"/>
      <c r="S1734" s="595"/>
      <c r="T1734" s="595"/>
      <c r="U1734" s="595"/>
    </row>
    <row r="1735" spans="2:21" s="298" customFormat="1" ht="14.1" customHeight="1">
      <c r="B1735" s="951"/>
      <c r="C1735" s="655" t="s">
        <v>215</v>
      </c>
      <c r="D1735" s="694" t="s">
        <v>212</v>
      </c>
      <c r="E1735" s="687"/>
      <c r="F1735" s="687"/>
      <c r="G1735" s="698"/>
      <c r="H1735" s="699"/>
      <c r="I1735" s="700"/>
      <c r="J1735" s="522"/>
      <c r="K1735" s="523"/>
      <c r="L1735" s="493"/>
      <c r="M1735" s="494"/>
      <c r="N1735" s="491">
        <f t="shared" si="112"/>
        <v>0</v>
      </c>
      <c r="O1735" s="302"/>
      <c r="Q1735" s="595"/>
      <c r="R1735" s="484"/>
      <c r="S1735" s="595"/>
      <c r="T1735" s="595"/>
      <c r="U1735" s="595"/>
    </row>
    <row r="1736" spans="2:21" s="298" customFormat="1" ht="14.1" customHeight="1">
      <c r="B1736" s="951"/>
      <c r="C1736" s="600"/>
      <c r="D1736" s="602"/>
      <c r="E1736" s="695"/>
      <c r="F1736" s="691"/>
      <c r="G1736" s="696"/>
      <c r="H1736" s="697"/>
      <c r="I1736" s="701"/>
      <c r="J1736" s="527"/>
      <c r="K1736" s="528">
        <f>SUM(J1735:J1735)</f>
        <v>0</v>
      </c>
      <c r="L1736" s="493"/>
      <c r="M1736" s="494"/>
      <c r="N1736" s="491">
        <f t="shared" si="112"/>
        <v>0</v>
      </c>
      <c r="O1736" s="302"/>
      <c r="Q1736" s="595"/>
      <c r="R1736" s="484"/>
      <c r="S1736" s="595"/>
      <c r="T1736" s="595"/>
      <c r="U1736" s="595"/>
    </row>
    <row r="1737" spans="2:21" s="298" customFormat="1" ht="14.1" customHeight="1">
      <c r="B1737" s="951"/>
      <c r="C1737" s="698" t="s">
        <v>216</v>
      </c>
      <c r="D1737" s="619" t="s">
        <v>219</v>
      </c>
      <c r="E1737" s="691"/>
      <c r="F1737" s="691"/>
      <c r="G1737" s="696"/>
      <c r="H1737" s="697"/>
      <c r="I1737" s="701"/>
      <c r="J1737" s="529" t="s">
        <v>220</v>
      </c>
      <c r="K1737" s="528">
        <f>K1732+K1734+K1736</f>
        <v>219250</v>
      </c>
      <c r="L1737" s="620">
        <f>N1737/K1737</f>
        <v>0.43329532497149376</v>
      </c>
      <c r="M1737" s="497"/>
      <c r="N1737" s="498">
        <f>SUM(N1725:N1736)</f>
        <v>95000</v>
      </c>
      <c r="O1737" s="302"/>
      <c r="Q1737" s="595"/>
      <c r="R1737" s="484"/>
      <c r="S1737" s="595"/>
      <c r="T1737" s="595"/>
      <c r="U1737" s="595"/>
    </row>
    <row r="1738" spans="2:21" s="298" customFormat="1" ht="14.1" customHeight="1">
      <c r="B1738" s="951"/>
      <c r="C1738" s="600" t="s">
        <v>217</v>
      </c>
      <c r="D1738" s="619" t="s">
        <v>221</v>
      </c>
      <c r="E1738" s="691"/>
      <c r="F1738" s="499">
        <f>$F$48</f>
        <v>0.1</v>
      </c>
      <c r="G1738" s="605" t="s">
        <v>168</v>
      </c>
      <c r="H1738" s="499">
        <f>$H$48</f>
        <v>0.02</v>
      </c>
      <c r="I1738" s="702" t="s">
        <v>167</v>
      </c>
      <c r="J1738" s="528" t="s">
        <v>216</v>
      </c>
      <c r="K1738" s="530">
        <f>ROUND((K1737*(F1738+H1738)),2)</f>
        <v>26310</v>
      </c>
      <c r="L1738" s="494"/>
      <c r="M1738" s="494"/>
      <c r="N1738" s="494"/>
      <c r="O1738" s="302"/>
      <c r="Q1738" s="595"/>
      <c r="R1738" s="484"/>
      <c r="S1738" s="595"/>
      <c r="T1738" s="595"/>
      <c r="U1738" s="595"/>
    </row>
    <row r="1739" spans="2:21" s="298" customFormat="1" ht="14.1" customHeight="1">
      <c r="B1739" s="951"/>
      <c r="C1739" s="622" t="s">
        <v>222</v>
      </c>
      <c r="D1739" s="703" t="s">
        <v>76</v>
      </c>
      <c r="E1739" s="704"/>
      <c r="F1739" s="704"/>
      <c r="G1739" s="704"/>
      <c r="H1739" s="705"/>
      <c r="I1739" s="704"/>
      <c r="J1739" s="706" t="s">
        <v>226</v>
      </c>
      <c r="K1739" s="707">
        <f>SUM(K1737:K1738)</f>
        <v>245560</v>
      </c>
      <c r="L1739" s="620"/>
      <c r="M1739" s="626"/>
      <c r="N1739" s="635"/>
      <c r="O1739" s="302"/>
      <c r="Q1739" s="595"/>
      <c r="R1739" s="484"/>
      <c r="S1739" s="595"/>
      <c r="T1739" s="595"/>
      <c r="U1739" s="595"/>
    </row>
    <row r="1740" spans="2:21">
      <c r="Q1740" s="595"/>
      <c r="R1740" s="484"/>
      <c r="S1740" s="595"/>
      <c r="T1740" s="595"/>
      <c r="U1740" s="595"/>
    </row>
    <row r="1741" spans="2:21" s="298" customFormat="1" ht="14.1" customHeight="1">
      <c r="B1741" s="951">
        <f>B1723+1</f>
        <v>89</v>
      </c>
      <c r="C1741" s="488"/>
      <c r="D1741" s="590" t="s">
        <v>495</v>
      </c>
      <c r="E1741" s="485"/>
      <c r="F1741" s="485"/>
      <c r="G1741" s="485"/>
      <c r="H1741" s="488"/>
      <c r="I1741" s="485"/>
      <c r="J1741" s="485"/>
      <c r="K1741" s="591" t="s">
        <v>239</v>
      </c>
      <c r="L1741" s="591"/>
      <c r="M1741" s="591"/>
      <c r="N1741" s="591"/>
      <c r="O1741" s="302" t="str">
        <f>D1742</f>
        <v>ttk</v>
      </c>
      <c r="P1741" s="592">
        <f>K1754</f>
        <v>176960</v>
      </c>
      <c r="Q1741" s="593">
        <f>L1752</f>
        <v>0.60126582278481011</v>
      </c>
      <c r="R1741" s="484">
        <f>N1752</f>
        <v>95000</v>
      </c>
      <c r="S1741" s="594"/>
      <c r="T1741" s="484"/>
      <c r="U1741" s="593"/>
    </row>
    <row r="1742" spans="2:21" s="298" customFormat="1" ht="14.1" customHeight="1">
      <c r="B1742" s="951"/>
      <c r="C1742" s="488"/>
      <c r="D1742" s="485" t="s">
        <v>140</v>
      </c>
      <c r="E1742" s="485"/>
      <c r="F1742" s="485"/>
      <c r="G1742" s="485"/>
      <c r="H1742" s="488"/>
      <c r="I1742" s="485"/>
      <c r="J1742" s="485"/>
      <c r="K1742" s="485"/>
      <c r="L1742" s="485"/>
      <c r="M1742" s="485"/>
      <c r="N1742" s="485"/>
      <c r="O1742" s="302"/>
      <c r="Q1742" s="595"/>
      <c r="R1742" s="484"/>
      <c r="S1742" s="595"/>
      <c r="T1742" s="595"/>
      <c r="U1742" s="595"/>
    </row>
    <row r="1743" spans="2:21" s="298" customFormat="1" ht="14.1" customHeight="1">
      <c r="B1743" s="951"/>
      <c r="C1743" s="683"/>
      <c r="D1743" s="965" t="s">
        <v>55</v>
      </c>
      <c r="E1743" s="966"/>
      <c r="F1743" s="684"/>
      <c r="G1743" s="971" t="s">
        <v>56</v>
      </c>
      <c r="H1743" s="971" t="s">
        <v>57</v>
      </c>
      <c r="I1743" s="683" t="s">
        <v>58</v>
      </c>
      <c r="J1743" s="683" t="s">
        <v>59</v>
      </c>
      <c r="K1743" s="683" t="s">
        <v>102</v>
      </c>
      <c r="L1743" s="596" t="s">
        <v>418</v>
      </c>
      <c r="M1743" s="596" t="s">
        <v>419</v>
      </c>
      <c r="N1743" s="596" t="s">
        <v>59</v>
      </c>
      <c r="O1743" s="302"/>
      <c r="Q1743" s="595"/>
      <c r="R1743" s="484"/>
      <c r="S1743" s="595"/>
      <c r="T1743" s="595"/>
      <c r="U1743" s="595"/>
    </row>
    <row r="1744" spans="2:21" s="298" customFormat="1" ht="14.1" customHeight="1">
      <c r="B1744" s="951"/>
      <c r="C1744" s="655" t="s">
        <v>227</v>
      </c>
      <c r="D1744" s="967"/>
      <c r="E1744" s="968"/>
      <c r="F1744" s="654"/>
      <c r="G1744" s="972"/>
      <c r="H1744" s="972"/>
      <c r="I1744" s="655" t="s">
        <v>60</v>
      </c>
      <c r="J1744" s="655" t="s">
        <v>61</v>
      </c>
      <c r="K1744" s="655" t="s">
        <v>61</v>
      </c>
      <c r="L1744" s="598" t="s">
        <v>421</v>
      </c>
      <c r="M1744" s="598"/>
      <c r="N1744" s="598" t="s">
        <v>423</v>
      </c>
      <c r="O1744" s="302"/>
      <c r="Q1744" s="595"/>
      <c r="R1744" s="484"/>
      <c r="S1744" s="595"/>
      <c r="T1744" s="595"/>
      <c r="U1744" s="595"/>
    </row>
    <row r="1745" spans="2:21" s="298" customFormat="1" ht="14.1" customHeight="1">
      <c r="B1745" s="951"/>
      <c r="C1745" s="600"/>
      <c r="D1745" s="969"/>
      <c r="E1745" s="970"/>
      <c r="F1745" s="601"/>
      <c r="G1745" s="973"/>
      <c r="H1745" s="973"/>
      <c r="I1745" s="600" t="s">
        <v>61</v>
      </c>
      <c r="J1745" s="602"/>
      <c r="K1745" s="602"/>
      <c r="L1745" s="602"/>
      <c r="M1745" s="602"/>
      <c r="N1745" s="600" t="s">
        <v>61</v>
      </c>
      <c r="O1745" s="302"/>
      <c r="Q1745" s="595"/>
      <c r="R1745" s="484"/>
      <c r="S1745" s="595"/>
      <c r="T1745" s="595"/>
      <c r="U1745" s="595"/>
    </row>
    <row r="1746" spans="2:21" s="298" customFormat="1" ht="14.1" customHeight="1">
      <c r="B1746" s="951"/>
      <c r="C1746" s="670"/>
      <c r="D1746" s="666"/>
      <c r="E1746" s="736" t="s">
        <v>237</v>
      </c>
      <c r="F1746" s="736"/>
      <c r="G1746" s="673" t="s">
        <v>45</v>
      </c>
      <c r="H1746" s="737">
        <v>1</v>
      </c>
      <c r="I1746" s="532">
        <f>'UPH-TNG'!I95</f>
        <v>63000</v>
      </c>
      <c r="J1746" s="522">
        <f t="shared" ref="J1746" si="114">ROUND(H1746*I1746,2)</f>
        <v>63000</v>
      </c>
      <c r="K1746" s="535"/>
      <c r="L1746" s="516">
        <v>0</v>
      </c>
      <c r="M1746" s="517"/>
      <c r="N1746" s="532"/>
      <c r="O1746" s="302"/>
      <c r="Q1746" s="595"/>
      <c r="R1746" s="484"/>
      <c r="S1746" s="595"/>
      <c r="T1746" s="595"/>
      <c r="U1746" s="595"/>
    </row>
    <row r="1747" spans="2:21" s="298" customFormat="1" ht="14.1" customHeight="1">
      <c r="B1747" s="951"/>
      <c r="C1747" s="655"/>
      <c r="D1747" s="685"/>
      <c r="E1747" s="724"/>
      <c r="F1747" s="725"/>
      <c r="G1747" s="696"/>
      <c r="H1747" s="726"/>
      <c r="I1747" s="533"/>
      <c r="J1747" s="527"/>
      <c r="K1747" s="522">
        <f>SUM(J1746:J1746)</f>
        <v>63000</v>
      </c>
      <c r="L1747" s="493"/>
      <c r="M1747" s="494"/>
      <c r="N1747" s="491">
        <f t="shared" ref="N1747:N1751" si="115">L1747*J1747</f>
        <v>0</v>
      </c>
      <c r="O1747" s="302"/>
      <c r="Q1747" s="595"/>
      <c r="R1747" s="484"/>
      <c r="S1747" s="595"/>
      <c r="T1747" s="595"/>
      <c r="U1747" s="595"/>
    </row>
    <row r="1748" spans="2:21" s="298" customFormat="1" ht="14.1" customHeight="1">
      <c r="B1748" s="951"/>
      <c r="C1748" s="683" t="s">
        <v>214</v>
      </c>
      <c r="D1748" s="694" t="s">
        <v>63</v>
      </c>
      <c r="E1748" s="722" t="s">
        <v>5</v>
      </c>
      <c r="F1748" s="722"/>
      <c r="G1748" s="698" t="s">
        <v>66</v>
      </c>
      <c r="H1748" s="723">
        <v>1</v>
      </c>
      <c r="I1748" s="512">
        <f>'UPH-TNG'!$I$26</f>
        <v>95000</v>
      </c>
      <c r="J1748" s="522">
        <f>ROUND(H1748*I1748,2)</f>
        <v>95000</v>
      </c>
      <c r="K1748" s="523"/>
      <c r="L1748" s="493">
        <v>1</v>
      </c>
      <c r="M1748" s="493" t="s">
        <v>422</v>
      </c>
      <c r="N1748" s="491">
        <f t="shared" si="115"/>
        <v>95000</v>
      </c>
      <c r="O1748" s="302"/>
      <c r="Q1748" s="595"/>
      <c r="R1748" s="484"/>
      <c r="S1748" s="595"/>
      <c r="T1748" s="595"/>
      <c r="U1748" s="595"/>
    </row>
    <row r="1749" spans="2:21" s="298" customFormat="1" ht="14.1" customHeight="1">
      <c r="B1749" s="951"/>
      <c r="C1749" s="600"/>
      <c r="D1749" s="602"/>
      <c r="E1749" s="695"/>
      <c r="F1749" s="691"/>
      <c r="G1749" s="696"/>
      <c r="H1749" s="697"/>
      <c r="I1749" s="533"/>
      <c r="J1749" s="527"/>
      <c r="K1749" s="528">
        <f>SUM(J1748:J1748)</f>
        <v>95000</v>
      </c>
      <c r="L1749" s="493"/>
      <c r="M1749" s="494"/>
      <c r="N1749" s="491">
        <f t="shared" si="115"/>
        <v>0</v>
      </c>
      <c r="O1749" s="302"/>
      <c r="Q1749" s="595"/>
      <c r="R1749" s="484"/>
      <c r="S1749" s="595"/>
      <c r="T1749" s="595"/>
      <c r="U1749" s="595"/>
    </row>
    <row r="1750" spans="2:21" s="298" customFormat="1" ht="14.1" customHeight="1">
      <c r="B1750" s="951"/>
      <c r="C1750" s="655" t="s">
        <v>215</v>
      </c>
      <c r="D1750" s="694" t="s">
        <v>212</v>
      </c>
      <c r="E1750" s="687"/>
      <c r="F1750" s="687"/>
      <c r="G1750" s="698"/>
      <c r="H1750" s="699"/>
      <c r="I1750" s="700"/>
      <c r="J1750" s="522"/>
      <c r="K1750" s="523"/>
      <c r="L1750" s="493"/>
      <c r="M1750" s="494"/>
      <c r="N1750" s="491">
        <f t="shared" si="115"/>
        <v>0</v>
      </c>
      <c r="O1750" s="302"/>
      <c r="Q1750" s="595"/>
      <c r="R1750" s="484"/>
      <c r="S1750" s="595"/>
      <c r="T1750" s="595"/>
      <c r="U1750" s="595"/>
    </row>
    <row r="1751" spans="2:21" s="298" customFormat="1" ht="14.1" customHeight="1">
      <c r="B1751" s="951"/>
      <c r="C1751" s="600"/>
      <c r="D1751" s="602"/>
      <c r="E1751" s="695"/>
      <c r="F1751" s="691"/>
      <c r="G1751" s="696"/>
      <c r="H1751" s="697"/>
      <c r="I1751" s="701"/>
      <c r="J1751" s="527"/>
      <c r="K1751" s="528">
        <f>SUM(J1750:J1750)</f>
        <v>0</v>
      </c>
      <c r="L1751" s="493"/>
      <c r="M1751" s="494"/>
      <c r="N1751" s="491">
        <f t="shared" si="115"/>
        <v>0</v>
      </c>
      <c r="O1751" s="302"/>
      <c r="Q1751" s="595"/>
      <c r="R1751" s="484"/>
      <c r="S1751" s="595"/>
      <c r="T1751" s="595"/>
      <c r="U1751" s="595"/>
    </row>
    <row r="1752" spans="2:21" s="298" customFormat="1" ht="14.1" customHeight="1">
      <c r="B1752" s="951"/>
      <c r="C1752" s="698" t="s">
        <v>216</v>
      </c>
      <c r="D1752" s="619" t="s">
        <v>219</v>
      </c>
      <c r="E1752" s="691"/>
      <c r="F1752" s="691"/>
      <c r="G1752" s="696"/>
      <c r="H1752" s="697"/>
      <c r="I1752" s="701"/>
      <c r="J1752" s="529" t="s">
        <v>220</v>
      </c>
      <c r="K1752" s="528">
        <f>K1747+K1749+K1751</f>
        <v>158000</v>
      </c>
      <c r="L1752" s="620">
        <f>N1752/K1752</f>
        <v>0.60126582278481011</v>
      </c>
      <c r="M1752" s="497"/>
      <c r="N1752" s="498">
        <f>SUM(N1743:N1751)</f>
        <v>95000</v>
      </c>
      <c r="O1752" s="302"/>
      <c r="Q1752" s="595"/>
      <c r="R1752" s="484"/>
      <c r="S1752" s="595"/>
      <c r="T1752" s="595"/>
      <c r="U1752" s="595"/>
    </row>
    <row r="1753" spans="2:21" s="298" customFormat="1" ht="14.1" customHeight="1">
      <c r="B1753" s="951"/>
      <c r="C1753" s="600" t="s">
        <v>217</v>
      </c>
      <c r="D1753" s="619" t="s">
        <v>221</v>
      </c>
      <c r="E1753" s="691"/>
      <c r="F1753" s="499">
        <f>$F$48</f>
        <v>0.1</v>
      </c>
      <c r="G1753" s="605" t="s">
        <v>168</v>
      </c>
      <c r="H1753" s="499">
        <f>$H$48</f>
        <v>0.02</v>
      </c>
      <c r="I1753" s="702" t="s">
        <v>167</v>
      </c>
      <c r="J1753" s="528" t="s">
        <v>216</v>
      </c>
      <c r="K1753" s="530">
        <f>ROUND((K1752*(F1753+H1753)),2)</f>
        <v>18960</v>
      </c>
      <c r="L1753" s="494"/>
      <c r="M1753" s="494"/>
      <c r="N1753" s="494"/>
      <c r="O1753" s="302"/>
      <c r="Q1753" s="595"/>
      <c r="R1753" s="484"/>
      <c r="S1753" s="595"/>
      <c r="T1753" s="595"/>
      <c r="U1753" s="595"/>
    </row>
    <row r="1754" spans="2:21" s="298" customFormat="1" ht="14.1" customHeight="1">
      <c r="B1754" s="951"/>
      <c r="C1754" s="622" t="s">
        <v>222</v>
      </c>
      <c r="D1754" s="703" t="s">
        <v>76</v>
      </c>
      <c r="E1754" s="704"/>
      <c r="F1754" s="704"/>
      <c r="G1754" s="704"/>
      <c r="H1754" s="705"/>
      <c r="I1754" s="704"/>
      <c r="J1754" s="706" t="s">
        <v>226</v>
      </c>
      <c r="K1754" s="707">
        <f>SUM(K1752:K1753)</f>
        <v>176960</v>
      </c>
      <c r="L1754" s="620"/>
      <c r="M1754" s="626"/>
      <c r="N1754" s="635"/>
      <c r="O1754" s="302"/>
      <c r="Q1754" s="595"/>
      <c r="R1754" s="484"/>
      <c r="S1754" s="595"/>
      <c r="T1754" s="595"/>
      <c r="U1754" s="595"/>
    </row>
    <row r="1755" spans="2:21">
      <c r="Q1755" s="595"/>
      <c r="R1755" s="484"/>
      <c r="S1755" s="595"/>
      <c r="T1755" s="595"/>
      <c r="U1755" s="595"/>
    </row>
    <row r="1756" spans="2:21" s="298" customFormat="1" ht="14.1" customHeight="1">
      <c r="B1756" s="951">
        <f>B1741+1</f>
        <v>90</v>
      </c>
      <c r="C1756" s="488"/>
      <c r="D1756" s="590" t="s">
        <v>657</v>
      </c>
      <c r="E1756" s="485"/>
      <c r="F1756" s="485"/>
      <c r="G1756" s="485"/>
      <c r="H1756" s="488"/>
      <c r="I1756" s="485"/>
      <c r="J1756" s="485"/>
      <c r="K1756" s="591" t="s">
        <v>239</v>
      </c>
      <c r="L1756" s="591"/>
      <c r="M1756" s="591"/>
      <c r="N1756" s="591"/>
      <c r="O1756" s="302" t="str">
        <f>D1757</f>
        <v>bh</v>
      </c>
      <c r="P1756" s="592">
        <f>K1772</f>
        <v>151401.60000000001</v>
      </c>
      <c r="Q1756" s="593">
        <f>L1770</f>
        <v>7.5306998076638557E-2</v>
      </c>
      <c r="R1756" s="484">
        <f>N1770</f>
        <v>10180</v>
      </c>
      <c r="S1756" s="594"/>
      <c r="T1756" s="484"/>
      <c r="U1756" s="593"/>
    </row>
    <row r="1757" spans="2:21" s="298" customFormat="1" ht="14.1" customHeight="1">
      <c r="B1757" s="951"/>
      <c r="C1757" s="488"/>
      <c r="D1757" s="485" t="s">
        <v>45</v>
      </c>
      <c r="E1757" s="485"/>
      <c r="F1757" s="485"/>
      <c r="G1757" s="485"/>
      <c r="H1757" s="488"/>
      <c r="I1757" s="485"/>
      <c r="J1757" s="485"/>
      <c r="K1757" s="485"/>
      <c r="L1757" s="485"/>
      <c r="M1757" s="485"/>
      <c r="N1757" s="485"/>
      <c r="O1757" s="302"/>
      <c r="Q1757" s="595"/>
      <c r="R1757" s="484"/>
      <c r="S1757" s="595"/>
      <c r="T1757" s="595"/>
      <c r="U1757" s="595"/>
    </row>
    <row r="1758" spans="2:21" s="298" customFormat="1" ht="14.1" customHeight="1">
      <c r="B1758" s="951"/>
      <c r="C1758" s="683"/>
      <c r="D1758" s="965" t="s">
        <v>55</v>
      </c>
      <c r="E1758" s="966"/>
      <c r="F1758" s="684"/>
      <c r="G1758" s="971" t="s">
        <v>56</v>
      </c>
      <c r="H1758" s="971" t="s">
        <v>57</v>
      </c>
      <c r="I1758" s="683" t="s">
        <v>58</v>
      </c>
      <c r="J1758" s="683" t="s">
        <v>59</v>
      </c>
      <c r="K1758" s="683" t="s">
        <v>102</v>
      </c>
      <c r="L1758" s="596" t="s">
        <v>418</v>
      </c>
      <c r="M1758" s="596" t="s">
        <v>419</v>
      </c>
      <c r="N1758" s="596" t="s">
        <v>59</v>
      </c>
      <c r="O1758" s="302"/>
      <c r="Q1758" s="595"/>
      <c r="R1758" s="484"/>
      <c r="S1758" s="595"/>
      <c r="T1758" s="595"/>
      <c r="U1758" s="595"/>
    </row>
    <row r="1759" spans="2:21" s="298" customFormat="1" ht="14.1" customHeight="1">
      <c r="B1759" s="951"/>
      <c r="C1759" s="655" t="s">
        <v>227</v>
      </c>
      <c r="D1759" s="967"/>
      <c r="E1759" s="968"/>
      <c r="F1759" s="654"/>
      <c r="G1759" s="972"/>
      <c r="H1759" s="972"/>
      <c r="I1759" s="655" t="s">
        <v>60</v>
      </c>
      <c r="J1759" s="655" t="s">
        <v>61</v>
      </c>
      <c r="K1759" s="655" t="s">
        <v>61</v>
      </c>
      <c r="L1759" s="598" t="s">
        <v>421</v>
      </c>
      <c r="M1759" s="598"/>
      <c r="N1759" s="598" t="s">
        <v>423</v>
      </c>
      <c r="O1759" s="302"/>
      <c r="Q1759" s="595"/>
      <c r="R1759" s="484"/>
      <c r="S1759" s="595"/>
      <c r="T1759" s="595"/>
      <c r="U1759" s="595"/>
    </row>
    <row r="1760" spans="2:21" s="298" customFormat="1" ht="14.1" customHeight="1">
      <c r="B1760" s="951"/>
      <c r="C1760" s="600"/>
      <c r="D1760" s="969"/>
      <c r="E1760" s="970"/>
      <c r="F1760" s="601"/>
      <c r="G1760" s="973"/>
      <c r="H1760" s="973"/>
      <c r="I1760" s="600" t="s">
        <v>61</v>
      </c>
      <c r="J1760" s="602"/>
      <c r="K1760" s="602"/>
      <c r="L1760" s="602"/>
      <c r="M1760" s="602"/>
      <c r="N1760" s="600" t="s">
        <v>61</v>
      </c>
      <c r="O1760" s="302"/>
      <c r="Q1760" s="595"/>
      <c r="R1760" s="484"/>
      <c r="S1760" s="595"/>
      <c r="T1760" s="595"/>
      <c r="U1760" s="595"/>
    </row>
    <row r="1761" spans="2:22" s="298" customFormat="1" ht="14.1" customHeight="1">
      <c r="B1761" s="951"/>
      <c r="C1761" s="683" t="s">
        <v>213</v>
      </c>
      <c r="D1761" s="694" t="s">
        <v>62</v>
      </c>
      <c r="E1761" s="722" t="s">
        <v>656</v>
      </c>
      <c r="F1761" s="722"/>
      <c r="G1761" s="698" t="s">
        <v>45</v>
      </c>
      <c r="H1761" s="723">
        <v>1</v>
      </c>
      <c r="I1761" s="522">
        <f>'UPH-TNG'!I87</f>
        <v>125000</v>
      </c>
      <c r="J1761" s="522">
        <f>ROUND(H1761*I1761,2)</f>
        <v>125000</v>
      </c>
      <c r="K1761" s="523"/>
      <c r="L1761" s="501">
        <v>0</v>
      </c>
      <c r="M1761" s="494"/>
      <c r="N1761" s="491">
        <f t="shared" ref="N1761:N1769" si="116">L1761*J1761</f>
        <v>0</v>
      </c>
      <c r="O1761" s="302"/>
      <c r="Q1761" s="595"/>
      <c r="R1761" s="484"/>
      <c r="S1761" s="595"/>
      <c r="T1761" s="595"/>
      <c r="U1761" s="595"/>
      <c r="V1761" s="298">
        <v>850000</v>
      </c>
    </row>
    <row r="1762" spans="2:22" s="298" customFormat="1" ht="14.1" customHeight="1">
      <c r="B1762" s="951"/>
      <c r="C1762" s="655"/>
      <c r="D1762" s="685"/>
      <c r="E1762" s="724"/>
      <c r="F1762" s="725"/>
      <c r="G1762" s="696"/>
      <c r="H1762" s="726"/>
      <c r="I1762" s="533"/>
      <c r="J1762" s="527"/>
      <c r="K1762" s="522">
        <f>SUM(J1761:J1761)</f>
        <v>125000</v>
      </c>
      <c r="L1762" s="493"/>
      <c r="M1762" s="494"/>
      <c r="N1762" s="491">
        <f t="shared" si="116"/>
        <v>0</v>
      </c>
      <c r="O1762" s="302"/>
      <c r="Q1762" s="595"/>
      <c r="R1762" s="484"/>
      <c r="S1762" s="595"/>
      <c r="T1762" s="595"/>
      <c r="U1762" s="595"/>
    </row>
    <row r="1763" spans="2:22" s="298" customFormat="1" ht="14.1" customHeight="1">
      <c r="B1763" s="951"/>
      <c r="C1763" s="683" t="s">
        <v>214</v>
      </c>
      <c r="D1763" s="694" t="s">
        <v>63</v>
      </c>
      <c r="E1763" s="722" t="s">
        <v>5</v>
      </c>
      <c r="F1763" s="722"/>
      <c r="G1763" s="698" t="s">
        <v>66</v>
      </c>
      <c r="H1763" s="723">
        <v>0.1</v>
      </c>
      <c r="I1763" s="512">
        <f>'UPH-TNG'!$I$15</f>
        <v>92000</v>
      </c>
      <c r="J1763" s="522">
        <f>ROUND(H1763*I1763,2)</f>
        <v>9200</v>
      </c>
      <c r="K1763" s="523"/>
      <c r="L1763" s="493">
        <v>1</v>
      </c>
      <c r="M1763" s="493" t="s">
        <v>422</v>
      </c>
      <c r="N1763" s="491">
        <f t="shared" si="116"/>
        <v>9200</v>
      </c>
      <c r="O1763" s="302"/>
      <c r="Q1763" s="595"/>
      <c r="R1763" s="484"/>
      <c r="S1763" s="595"/>
      <c r="T1763" s="595"/>
      <c r="U1763" s="595"/>
    </row>
    <row r="1764" spans="2:22" s="298" customFormat="1" ht="14.1" customHeight="1">
      <c r="B1764" s="951"/>
      <c r="C1764" s="685"/>
      <c r="D1764" s="685"/>
      <c r="E1764" s="722" t="s">
        <v>65</v>
      </c>
      <c r="F1764" s="722"/>
      <c r="G1764" s="698" t="s">
        <v>66</v>
      </c>
      <c r="H1764" s="723">
        <v>0.01</v>
      </c>
      <c r="I1764" s="512">
        <f>'UPH-TNG'!$I$20</f>
        <v>98000</v>
      </c>
      <c r="J1764" s="522">
        <f>ROUND(H1764*I1764,2)</f>
        <v>980</v>
      </c>
      <c r="K1764" s="524"/>
      <c r="L1764" s="493">
        <v>1</v>
      </c>
      <c r="M1764" s="493" t="s">
        <v>422</v>
      </c>
      <c r="N1764" s="491">
        <f t="shared" si="116"/>
        <v>980</v>
      </c>
      <c r="O1764" s="302"/>
      <c r="Q1764" s="595"/>
      <c r="R1764" s="484"/>
      <c r="S1764" s="595"/>
      <c r="T1764" s="595"/>
      <c r="U1764" s="595"/>
    </row>
    <row r="1765" spans="2:22" s="298" customFormat="1" ht="14.1" customHeight="1">
      <c r="B1765" s="951"/>
      <c r="C1765" s="600"/>
      <c r="D1765" s="602"/>
      <c r="E1765" s="695"/>
      <c r="F1765" s="691"/>
      <c r="G1765" s="696"/>
      <c r="H1765" s="697"/>
      <c r="I1765" s="533"/>
      <c r="J1765" s="527"/>
      <c r="K1765" s="528">
        <f>SUM(J1763:J1764)</f>
        <v>10180</v>
      </c>
      <c r="L1765" s="493"/>
      <c r="M1765" s="494"/>
      <c r="N1765" s="491">
        <f t="shared" si="116"/>
        <v>0</v>
      </c>
      <c r="O1765" s="302"/>
      <c r="Q1765" s="595"/>
      <c r="R1765" s="484"/>
      <c r="S1765" s="595"/>
      <c r="T1765" s="595"/>
      <c r="U1765" s="595"/>
    </row>
    <row r="1766" spans="2:22" s="298" customFormat="1" ht="14.1" customHeight="1">
      <c r="B1766" s="951"/>
      <c r="C1766" s="655" t="s">
        <v>215</v>
      </c>
      <c r="D1766" s="694" t="s">
        <v>212</v>
      </c>
      <c r="E1766" s="687"/>
      <c r="F1766" s="687"/>
      <c r="G1766" s="698"/>
      <c r="H1766" s="699"/>
      <c r="I1766" s="700"/>
      <c r="J1766" s="522"/>
      <c r="K1766" s="523"/>
      <c r="L1766" s="493"/>
      <c r="M1766" s="494"/>
      <c r="N1766" s="491">
        <f t="shared" si="116"/>
        <v>0</v>
      </c>
      <c r="O1766" s="302"/>
      <c r="Q1766" s="595"/>
      <c r="R1766" s="484"/>
      <c r="S1766" s="595"/>
      <c r="T1766" s="595"/>
      <c r="U1766" s="595"/>
    </row>
    <row r="1767" spans="2:22" s="298" customFormat="1" ht="14.1" customHeight="1">
      <c r="B1767" s="951"/>
      <c r="C1767" s="655"/>
      <c r="D1767" s="685"/>
      <c r="E1767" s="695"/>
      <c r="F1767" s="691"/>
      <c r="G1767" s="696"/>
      <c r="H1767" s="697"/>
      <c r="I1767" s="701"/>
      <c r="J1767" s="527"/>
      <c r="K1767" s="523"/>
      <c r="L1767" s="493"/>
      <c r="M1767" s="494"/>
      <c r="N1767" s="491">
        <f t="shared" si="116"/>
        <v>0</v>
      </c>
      <c r="O1767" s="302"/>
      <c r="Q1767" s="595"/>
      <c r="R1767" s="484"/>
      <c r="S1767" s="595"/>
      <c r="T1767" s="595"/>
      <c r="U1767" s="595"/>
    </row>
    <row r="1768" spans="2:22" s="298" customFormat="1" ht="14.1" customHeight="1">
      <c r="B1768" s="951"/>
      <c r="C1768" s="655"/>
      <c r="D1768" s="685"/>
      <c r="E1768" s="695"/>
      <c r="F1768" s="691"/>
      <c r="G1768" s="696"/>
      <c r="H1768" s="697"/>
      <c r="I1768" s="701"/>
      <c r="J1768" s="527"/>
      <c r="K1768" s="523"/>
      <c r="L1768" s="493"/>
      <c r="M1768" s="494"/>
      <c r="N1768" s="491">
        <f t="shared" si="116"/>
        <v>0</v>
      </c>
      <c r="O1768" s="302"/>
      <c r="Q1768" s="595"/>
      <c r="R1768" s="484"/>
      <c r="S1768" s="595"/>
      <c r="T1768" s="595"/>
      <c r="U1768" s="595"/>
    </row>
    <row r="1769" spans="2:22" s="298" customFormat="1" ht="14.1" customHeight="1">
      <c r="B1769" s="951"/>
      <c r="C1769" s="600"/>
      <c r="D1769" s="602"/>
      <c r="E1769" s="695"/>
      <c r="F1769" s="691"/>
      <c r="G1769" s="696"/>
      <c r="H1769" s="697"/>
      <c r="I1769" s="701"/>
      <c r="J1769" s="527"/>
      <c r="K1769" s="528">
        <f>SUM(J1766:J1766)</f>
        <v>0</v>
      </c>
      <c r="L1769" s="493"/>
      <c r="M1769" s="494"/>
      <c r="N1769" s="491">
        <f t="shared" si="116"/>
        <v>0</v>
      </c>
      <c r="O1769" s="302"/>
      <c r="Q1769" s="595"/>
      <c r="R1769" s="484"/>
      <c r="S1769" s="595"/>
      <c r="T1769" s="595"/>
      <c r="U1769" s="595"/>
    </row>
    <row r="1770" spans="2:22" s="298" customFormat="1" ht="14.1" customHeight="1">
      <c r="B1770" s="951"/>
      <c r="C1770" s="600" t="s">
        <v>216</v>
      </c>
      <c r="D1770" s="619" t="s">
        <v>219</v>
      </c>
      <c r="E1770" s="691"/>
      <c r="F1770" s="691"/>
      <c r="G1770" s="696"/>
      <c r="H1770" s="697"/>
      <c r="I1770" s="701"/>
      <c r="J1770" s="529" t="s">
        <v>220</v>
      </c>
      <c r="K1770" s="528">
        <f>K1762+K1765+K1769</f>
        <v>135180</v>
      </c>
      <c r="L1770" s="620">
        <f>N1770/K1770</f>
        <v>7.5306998076638557E-2</v>
      </c>
      <c r="M1770" s="497"/>
      <c r="N1770" s="498">
        <f>SUM(N1760:N1769)</f>
        <v>10180</v>
      </c>
      <c r="O1770" s="302"/>
      <c r="Q1770" s="595"/>
      <c r="R1770" s="484"/>
      <c r="S1770" s="595"/>
      <c r="T1770" s="595"/>
      <c r="U1770" s="595"/>
    </row>
    <row r="1771" spans="2:22" s="298" customFormat="1" ht="14.1" customHeight="1">
      <c r="B1771" s="951"/>
      <c r="C1771" s="600" t="s">
        <v>217</v>
      </c>
      <c r="D1771" s="619" t="s">
        <v>221</v>
      </c>
      <c r="E1771" s="691"/>
      <c r="F1771" s="499">
        <f>$F$48</f>
        <v>0.1</v>
      </c>
      <c r="G1771" s="605" t="s">
        <v>168</v>
      </c>
      <c r="H1771" s="499">
        <f>$H$48</f>
        <v>0.02</v>
      </c>
      <c r="I1771" s="702" t="s">
        <v>167</v>
      </c>
      <c r="J1771" s="528" t="s">
        <v>216</v>
      </c>
      <c r="K1771" s="530">
        <f>ROUND((K1770*(F1771+H1771)),2)</f>
        <v>16221.6</v>
      </c>
      <c r="L1771" s="494"/>
      <c r="M1771" s="494"/>
      <c r="N1771" s="494"/>
      <c r="O1771" s="302"/>
      <c r="Q1771" s="595"/>
      <c r="R1771" s="484"/>
      <c r="S1771" s="595"/>
      <c r="T1771" s="595"/>
      <c r="U1771" s="595"/>
    </row>
    <row r="1772" spans="2:22" s="298" customFormat="1" ht="14.1" customHeight="1">
      <c r="B1772" s="951"/>
      <c r="C1772" s="622" t="s">
        <v>222</v>
      </c>
      <c r="D1772" s="703" t="s">
        <v>76</v>
      </c>
      <c r="E1772" s="704"/>
      <c r="F1772" s="704"/>
      <c r="G1772" s="704"/>
      <c r="H1772" s="705"/>
      <c r="I1772" s="704"/>
      <c r="J1772" s="706" t="s">
        <v>226</v>
      </c>
      <c r="K1772" s="707">
        <f>SUM(K1770:K1771)</f>
        <v>151401.60000000001</v>
      </c>
      <c r="L1772" s="620"/>
      <c r="M1772" s="626"/>
      <c r="N1772" s="635"/>
      <c r="O1772" s="302"/>
      <c r="Q1772" s="595"/>
      <c r="R1772" s="484"/>
      <c r="S1772" s="595"/>
      <c r="T1772" s="595"/>
      <c r="U1772" s="595"/>
    </row>
    <row r="1773" spans="2:22">
      <c r="Q1773" s="595"/>
      <c r="R1773" s="484"/>
      <c r="S1773" s="595"/>
      <c r="T1773" s="595"/>
      <c r="U1773" s="595"/>
    </row>
    <row r="1774" spans="2:22" s="298" customFormat="1" ht="14.1" customHeight="1">
      <c r="B1774" s="951">
        <f>B1756+1</f>
        <v>91</v>
      </c>
      <c r="C1774" s="488"/>
      <c r="D1774" s="590" t="s">
        <v>654</v>
      </c>
      <c r="E1774" s="485"/>
      <c r="F1774" s="485"/>
      <c r="G1774" s="485"/>
      <c r="H1774" s="488"/>
      <c r="I1774" s="485"/>
      <c r="J1774" s="485"/>
      <c r="K1774" s="591" t="s">
        <v>239</v>
      </c>
      <c r="L1774" s="591"/>
      <c r="M1774" s="591"/>
      <c r="N1774" s="591"/>
      <c r="O1774" s="302" t="str">
        <f>D1775</f>
        <v>bh</v>
      </c>
      <c r="P1774" s="592">
        <f>K1790</f>
        <v>95401.600000000006</v>
      </c>
      <c r="Q1774" s="593">
        <f>L1788</f>
        <v>0.1195116224465837</v>
      </c>
      <c r="R1774" s="484">
        <f>N1788</f>
        <v>10180</v>
      </c>
      <c r="S1774" s="594"/>
      <c r="T1774" s="484"/>
      <c r="U1774" s="593"/>
    </row>
    <row r="1775" spans="2:22" s="298" customFormat="1" ht="14.1" customHeight="1">
      <c r="B1775" s="951"/>
      <c r="C1775" s="488"/>
      <c r="D1775" s="485" t="s">
        <v>45</v>
      </c>
      <c r="E1775" s="485"/>
      <c r="F1775" s="485"/>
      <c r="G1775" s="485"/>
      <c r="H1775" s="488"/>
      <c r="I1775" s="485"/>
      <c r="J1775" s="485"/>
      <c r="K1775" s="485"/>
      <c r="L1775" s="485"/>
      <c r="M1775" s="485"/>
      <c r="N1775" s="485"/>
      <c r="O1775" s="302"/>
      <c r="Q1775" s="595"/>
      <c r="R1775" s="484"/>
      <c r="S1775" s="595"/>
      <c r="T1775" s="595"/>
      <c r="U1775" s="595"/>
    </row>
    <row r="1776" spans="2:22" s="298" customFormat="1" ht="14.1" customHeight="1">
      <c r="B1776" s="951"/>
      <c r="C1776" s="683"/>
      <c r="D1776" s="965" t="s">
        <v>55</v>
      </c>
      <c r="E1776" s="966"/>
      <c r="F1776" s="684"/>
      <c r="G1776" s="971" t="s">
        <v>56</v>
      </c>
      <c r="H1776" s="971" t="s">
        <v>57</v>
      </c>
      <c r="I1776" s="683" t="s">
        <v>58</v>
      </c>
      <c r="J1776" s="683" t="s">
        <v>59</v>
      </c>
      <c r="K1776" s="683" t="s">
        <v>102</v>
      </c>
      <c r="L1776" s="596" t="s">
        <v>418</v>
      </c>
      <c r="M1776" s="596" t="s">
        <v>419</v>
      </c>
      <c r="N1776" s="596" t="s">
        <v>59</v>
      </c>
      <c r="O1776" s="302"/>
      <c r="Q1776" s="595"/>
      <c r="R1776" s="484"/>
      <c r="S1776" s="595"/>
      <c r="T1776" s="595"/>
      <c r="U1776" s="595"/>
    </row>
    <row r="1777" spans="2:22" s="298" customFormat="1" ht="14.1" customHeight="1">
      <c r="B1777" s="951"/>
      <c r="C1777" s="655" t="s">
        <v>227</v>
      </c>
      <c r="D1777" s="967"/>
      <c r="E1777" s="968"/>
      <c r="F1777" s="654"/>
      <c r="G1777" s="972"/>
      <c r="H1777" s="972"/>
      <c r="I1777" s="655" t="s">
        <v>60</v>
      </c>
      <c r="J1777" s="655" t="s">
        <v>61</v>
      </c>
      <c r="K1777" s="655" t="s">
        <v>61</v>
      </c>
      <c r="L1777" s="598" t="s">
        <v>421</v>
      </c>
      <c r="M1777" s="598"/>
      <c r="N1777" s="598" t="s">
        <v>423</v>
      </c>
      <c r="O1777" s="302"/>
      <c r="Q1777" s="595"/>
      <c r="R1777" s="484"/>
      <c r="S1777" s="595"/>
      <c r="T1777" s="595"/>
      <c r="U1777" s="595"/>
    </row>
    <row r="1778" spans="2:22" s="298" customFormat="1" ht="14.1" customHeight="1">
      <c r="B1778" s="951"/>
      <c r="C1778" s="600"/>
      <c r="D1778" s="969"/>
      <c r="E1778" s="970"/>
      <c r="F1778" s="601"/>
      <c r="G1778" s="973"/>
      <c r="H1778" s="973"/>
      <c r="I1778" s="600" t="s">
        <v>61</v>
      </c>
      <c r="J1778" s="602"/>
      <c r="K1778" s="602"/>
      <c r="L1778" s="602"/>
      <c r="M1778" s="602"/>
      <c r="N1778" s="600" t="s">
        <v>61</v>
      </c>
      <c r="O1778" s="302"/>
      <c r="Q1778" s="595"/>
      <c r="R1778" s="484"/>
      <c r="S1778" s="595"/>
      <c r="T1778" s="595"/>
      <c r="U1778" s="595"/>
    </row>
    <row r="1779" spans="2:22" s="298" customFormat="1" ht="14.1" customHeight="1">
      <c r="B1779" s="951"/>
      <c r="C1779" s="683" t="s">
        <v>213</v>
      </c>
      <c r="D1779" s="694" t="s">
        <v>62</v>
      </c>
      <c r="E1779" s="722" t="s">
        <v>655</v>
      </c>
      <c r="F1779" s="722"/>
      <c r="G1779" s="698" t="s">
        <v>45</v>
      </c>
      <c r="H1779" s="723">
        <v>1</v>
      </c>
      <c r="I1779" s="522">
        <f>'UPH-TNG'!I88</f>
        <v>75000</v>
      </c>
      <c r="J1779" s="522">
        <f>ROUND(H1779*I1779,2)</f>
        <v>75000</v>
      </c>
      <c r="K1779" s="523"/>
      <c r="L1779" s="501">
        <v>0</v>
      </c>
      <c r="M1779" s="494"/>
      <c r="N1779" s="491">
        <f t="shared" ref="N1779:N1787" si="117">L1779*J1779</f>
        <v>0</v>
      </c>
      <c r="O1779" s="302"/>
      <c r="Q1779" s="595"/>
      <c r="R1779" s="484"/>
      <c r="S1779" s="595"/>
      <c r="T1779" s="595"/>
      <c r="U1779" s="595"/>
      <c r="V1779" s="298">
        <v>850000</v>
      </c>
    </row>
    <row r="1780" spans="2:22" s="298" customFormat="1" ht="14.1" customHeight="1">
      <c r="B1780" s="951"/>
      <c r="C1780" s="655"/>
      <c r="D1780" s="685"/>
      <c r="E1780" s="724"/>
      <c r="F1780" s="725"/>
      <c r="G1780" s="696"/>
      <c r="H1780" s="726"/>
      <c r="I1780" s="533"/>
      <c r="J1780" s="527"/>
      <c r="K1780" s="522">
        <f>SUM(J1779:J1779)</f>
        <v>75000</v>
      </c>
      <c r="L1780" s="493"/>
      <c r="M1780" s="494"/>
      <c r="N1780" s="491">
        <f t="shared" si="117"/>
        <v>0</v>
      </c>
      <c r="O1780" s="302"/>
      <c r="Q1780" s="595"/>
      <c r="R1780" s="484"/>
      <c r="S1780" s="595"/>
      <c r="T1780" s="595"/>
      <c r="U1780" s="595"/>
    </row>
    <row r="1781" spans="2:22" s="298" customFormat="1" ht="14.1" customHeight="1">
      <c r="B1781" s="951"/>
      <c r="C1781" s="683" t="s">
        <v>214</v>
      </c>
      <c r="D1781" s="694" t="s">
        <v>63</v>
      </c>
      <c r="E1781" s="722" t="s">
        <v>5</v>
      </c>
      <c r="F1781" s="722"/>
      <c r="G1781" s="698" t="s">
        <v>66</v>
      </c>
      <c r="H1781" s="723">
        <v>0.1</v>
      </c>
      <c r="I1781" s="512">
        <f>'UPH-TNG'!$I$15</f>
        <v>92000</v>
      </c>
      <c r="J1781" s="522">
        <f>ROUND(H1781*I1781,2)</f>
        <v>9200</v>
      </c>
      <c r="K1781" s="523"/>
      <c r="L1781" s="493">
        <v>1</v>
      </c>
      <c r="M1781" s="493" t="s">
        <v>422</v>
      </c>
      <c r="N1781" s="491">
        <f t="shared" si="117"/>
        <v>9200</v>
      </c>
      <c r="O1781" s="302"/>
      <c r="Q1781" s="595"/>
      <c r="R1781" s="484"/>
      <c r="S1781" s="595"/>
      <c r="T1781" s="595"/>
      <c r="U1781" s="595"/>
    </row>
    <row r="1782" spans="2:22" s="298" customFormat="1" ht="14.1" customHeight="1">
      <c r="B1782" s="951"/>
      <c r="C1782" s="685"/>
      <c r="D1782" s="685"/>
      <c r="E1782" s="722" t="s">
        <v>65</v>
      </c>
      <c r="F1782" s="722"/>
      <c r="G1782" s="698" t="s">
        <v>66</v>
      </c>
      <c r="H1782" s="723">
        <v>0.01</v>
      </c>
      <c r="I1782" s="512">
        <f>'UPH-TNG'!$I$20</f>
        <v>98000</v>
      </c>
      <c r="J1782" s="522">
        <f>ROUND(H1782*I1782,2)</f>
        <v>980</v>
      </c>
      <c r="K1782" s="524"/>
      <c r="L1782" s="493">
        <v>1</v>
      </c>
      <c r="M1782" s="493" t="s">
        <v>422</v>
      </c>
      <c r="N1782" s="491">
        <f t="shared" si="117"/>
        <v>980</v>
      </c>
      <c r="O1782" s="302"/>
      <c r="Q1782" s="595"/>
      <c r="R1782" s="484"/>
      <c r="S1782" s="595"/>
      <c r="T1782" s="595"/>
      <c r="U1782" s="595"/>
    </row>
    <row r="1783" spans="2:22" s="298" customFormat="1" ht="14.1" customHeight="1">
      <c r="B1783" s="951"/>
      <c r="C1783" s="600"/>
      <c r="D1783" s="602"/>
      <c r="E1783" s="695"/>
      <c r="F1783" s="691"/>
      <c r="G1783" s="696"/>
      <c r="H1783" s="697"/>
      <c r="I1783" s="533"/>
      <c r="J1783" s="527"/>
      <c r="K1783" s="528">
        <f>SUM(J1781:J1782)</f>
        <v>10180</v>
      </c>
      <c r="L1783" s="493"/>
      <c r="M1783" s="494"/>
      <c r="N1783" s="491">
        <f t="shared" si="117"/>
        <v>0</v>
      </c>
      <c r="O1783" s="302"/>
      <c r="Q1783" s="595"/>
      <c r="R1783" s="484"/>
      <c r="S1783" s="595"/>
      <c r="T1783" s="595"/>
      <c r="U1783" s="595"/>
    </row>
    <row r="1784" spans="2:22" s="298" customFormat="1" ht="14.1" customHeight="1">
      <c r="B1784" s="951"/>
      <c r="C1784" s="655" t="s">
        <v>215</v>
      </c>
      <c r="D1784" s="694" t="s">
        <v>212</v>
      </c>
      <c r="E1784" s="687"/>
      <c r="F1784" s="687"/>
      <c r="G1784" s="698"/>
      <c r="H1784" s="699"/>
      <c r="I1784" s="700"/>
      <c r="J1784" s="522"/>
      <c r="K1784" s="523"/>
      <c r="L1784" s="493"/>
      <c r="M1784" s="494"/>
      <c r="N1784" s="491">
        <f t="shared" si="117"/>
        <v>0</v>
      </c>
      <c r="O1784" s="302"/>
      <c r="Q1784" s="595"/>
      <c r="R1784" s="484"/>
      <c r="S1784" s="595"/>
      <c r="T1784" s="595"/>
      <c r="U1784" s="595"/>
    </row>
    <row r="1785" spans="2:22" s="298" customFormat="1" ht="14.1" customHeight="1">
      <c r="B1785" s="951"/>
      <c r="C1785" s="655"/>
      <c r="D1785" s="685"/>
      <c r="E1785" s="695"/>
      <c r="F1785" s="691"/>
      <c r="G1785" s="696"/>
      <c r="H1785" s="697"/>
      <c r="I1785" s="701"/>
      <c r="J1785" s="527"/>
      <c r="K1785" s="523"/>
      <c r="L1785" s="493"/>
      <c r="M1785" s="494"/>
      <c r="N1785" s="491">
        <f t="shared" si="117"/>
        <v>0</v>
      </c>
      <c r="O1785" s="302"/>
      <c r="Q1785" s="595"/>
      <c r="R1785" s="484"/>
      <c r="S1785" s="595"/>
      <c r="T1785" s="595"/>
      <c r="U1785" s="595"/>
    </row>
    <row r="1786" spans="2:22" s="298" customFormat="1" ht="14.1" customHeight="1">
      <c r="B1786" s="951"/>
      <c r="C1786" s="655"/>
      <c r="D1786" s="685"/>
      <c r="E1786" s="695"/>
      <c r="F1786" s="691"/>
      <c r="G1786" s="696"/>
      <c r="H1786" s="697"/>
      <c r="I1786" s="701"/>
      <c r="J1786" s="527"/>
      <c r="K1786" s="523"/>
      <c r="L1786" s="493"/>
      <c r="M1786" s="494"/>
      <c r="N1786" s="491">
        <f t="shared" si="117"/>
        <v>0</v>
      </c>
      <c r="O1786" s="302"/>
      <c r="Q1786" s="595"/>
      <c r="R1786" s="484"/>
      <c r="S1786" s="595"/>
      <c r="T1786" s="595"/>
      <c r="U1786" s="595"/>
    </row>
    <row r="1787" spans="2:22" s="298" customFormat="1" ht="14.1" customHeight="1">
      <c r="B1787" s="951"/>
      <c r="C1787" s="600"/>
      <c r="D1787" s="602"/>
      <c r="E1787" s="695"/>
      <c r="F1787" s="691"/>
      <c r="G1787" s="696"/>
      <c r="H1787" s="697"/>
      <c r="I1787" s="701"/>
      <c r="J1787" s="527"/>
      <c r="K1787" s="528">
        <f>SUM(J1784:J1784)</f>
        <v>0</v>
      </c>
      <c r="L1787" s="493"/>
      <c r="M1787" s="494"/>
      <c r="N1787" s="491">
        <f t="shared" si="117"/>
        <v>0</v>
      </c>
      <c r="O1787" s="302"/>
      <c r="Q1787" s="595"/>
      <c r="R1787" s="484"/>
      <c r="S1787" s="595"/>
      <c r="T1787" s="595"/>
      <c r="U1787" s="595"/>
    </row>
    <row r="1788" spans="2:22" s="298" customFormat="1" ht="14.1" customHeight="1">
      <c r="B1788" s="951"/>
      <c r="C1788" s="600" t="s">
        <v>216</v>
      </c>
      <c r="D1788" s="619" t="s">
        <v>219</v>
      </c>
      <c r="E1788" s="691"/>
      <c r="F1788" s="691"/>
      <c r="G1788" s="696"/>
      <c r="H1788" s="697"/>
      <c r="I1788" s="701"/>
      <c r="J1788" s="529" t="s">
        <v>220</v>
      </c>
      <c r="K1788" s="528">
        <f>K1780+K1783+K1787</f>
        <v>85180</v>
      </c>
      <c r="L1788" s="620">
        <f>N1788/K1788</f>
        <v>0.1195116224465837</v>
      </c>
      <c r="M1788" s="497"/>
      <c r="N1788" s="498">
        <f>SUM(N1778:N1787)</f>
        <v>10180</v>
      </c>
      <c r="O1788" s="302"/>
      <c r="Q1788" s="595"/>
      <c r="R1788" s="484"/>
      <c r="S1788" s="595"/>
      <c r="T1788" s="595"/>
      <c r="U1788" s="595"/>
    </row>
    <row r="1789" spans="2:22" s="298" customFormat="1" ht="14.1" customHeight="1">
      <c r="B1789" s="951"/>
      <c r="C1789" s="600" t="s">
        <v>217</v>
      </c>
      <c r="D1789" s="619" t="s">
        <v>221</v>
      </c>
      <c r="E1789" s="691"/>
      <c r="F1789" s="499">
        <f>$F$48</f>
        <v>0.1</v>
      </c>
      <c r="G1789" s="605" t="s">
        <v>168</v>
      </c>
      <c r="H1789" s="499">
        <f>$H$48</f>
        <v>0.02</v>
      </c>
      <c r="I1789" s="702" t="s">
        <v>167</v>
      </c>
      <c r="J1789" s="528" t="s">
        <v>216</v>
      </c>
      <c r="K1789" s="530">
        <f>ROUND((K1788*(F1789+H1789)),2)</f>
        <v>10221.6</v>
      </c>
      <c r="L1789" s="494"/>
      <c r="M1789" s="494"/>
      <c r="N1789" s="494"/>
      <c r="O1789" s="302"/>
      <c r="Q1789" s="595"/>
      <c r="R1789" s="484"/>
      <c r="S1789" s="595"/>
      <c r="T1789" s="595"/>
      <c r="U1789" s="595"/>
    </row>
    <row r="1790" spans="2:22" s="298" customFormat="1" ht="14.1" customHeight="1">
      <c r="B1790" s="951"/>
      <c r="C1790" s="622" t="s">
        <v>222</v>
      </c>
      <c r="D1790" s="703" t="s">
        <v>76</v>
      </c>
      <c r="E1790" s="704"/>
      <c r="F1790" s="704"/>
      <c r="G1790" s="704"/>
      <c r="H1790" s="705"/>
      <c r="I1790" s="704"/>
      <c r="J1790" s="706" t="s">
        <v>226</v>
      </c>
      <c r="K1790" s="707">
        <f>SUM(K1788:K1789)</f>
        <v>95401.600000000006</v>
      </c>
      <c r="L1790" s="620"/>
      <c r="M1790" s="626"/>
      <c r="N1790" s="635"/>
      <c r="O1790" s="302"/>
      <c r="Q1790" s="595"/>
      <c r="R1790" s="484"/>
      <c r="S1790" s="595"/>
      <c r="T1790" s="595"/>
      <c r="U1790" s="595"/>
    </row>
    <row r="1791" spans="2:22">
      <c r="Q1791" s="595"/>
      <c r="R1791" s="484"/>
      <c r="S1791" s="595"/>
      <c r="T1791" s="595"/>
      <c r="U1791" s="595"/>
    </row>
    <row r="1792" spans="2:22" s="298" customFormat="1" ht="14.1" hidden="1" customHeight="1">
      <c r="B1792" s="951">
        <f>B1774+1</f>
        <v>92</v>
      </c>
      <c r="C1792" s="488"/>
      <c r="D1792" s="590" t="s">
        <v>663</v>
      </c>
      <c r="E1792" s="485"/>
      <c r="F1792" s="485"/>
      <c r="G1792" s="485"/>
      <c r="H1792" s="488"/>
      <c r="I1792" s="485"/>
      <c r="J1792" s="485"/>
      <c r="K1792" s="591" t="s">
        <v>239</v>
      </c>
      <c r="L1792" s="591"/>
      <c r="M1792" s="591"/>
      <c r="N1792" s="591"/>
      <c r="O1792" s="302" t="str">
        <f>D1793</f>
        <v>bh</v>
      </c>
      <c r="P1792" s="592">
        <f>K1808</f>
        <v>73001.600000000006</v>
      </c>
      <c r="Q1792" s="593">
        <f>L1806</f>
        <v>0.15618287818349186</v>
      </c>
      <c r="R1792" s="484">
        <f>N1806</f>
        <v>10180</v>
      </c>
      <c r="S1792" s="594"/>
      <c r="T1792" s="484"/>
      <c r="U1792" s="593"/>
    </row>
    <row r="1793" spans="2:22" s="298" customFormat="1" ht="14.1" hidden="1" customHeight="1">
      <c r="B1793" s="951"/>
      <c r="C1793" s="488"/>
      <c r="D1793" s="485" t="s">
        <v>45</v>
      </c>
      <c r="E1793" s="485"/>
      <c r="F1793" s="485"/>
      <c r="G1793" s="485"/>
      <c r="H1793" s="488"/>
      <c r="I1793" s="485"/>
      <c r="J1793" s="485"/>
      <c r="K1793" s="485"/>
      <c r="L1793" s="485"/>
      <c r="M1793" s="485"/>
      <c r="N1793" s="485"/>
      <c r="O1793" s="302"/>
      <c r="Q1793" s="595"/>
      <c r="R1793" s="484"/>
      <c r="S1793" s="595"/>
      <c r="T1793" s="595"/>
      <c r="U1793" s="595"/>
    </row>
    <row r="1794" spans="2:22" s="298" customFormat="1" ht="14.1" hidden="1" customHeight="1">
      <c r="B1794" s="951"/>
      <c r="C1794" s="683"/>
      <c r="D1794" s="965" t="s">
        <v>55</v>
      </c>
      <c r="E1794" s="966"/>
      <c r="F1794" s="684"/>
      <c r="G1794" s="971" t="s">
        <v>56</v>
      </c>
      <c r="H1794" s="971" t="s">
        <v>57</v>
      </c>
      <c r="I1794" s="683" t="s">
        <v>58</v>
      </c>
      <c r="J1794" s="683" t="s">
        <v>59</v>
      </c>
      <c r="K1794" s="683" t="s">
        <v>102</v>
      </c>
      <c r="L1794" s="596" t="s">
        <v>418</v>
      </c>
      <c r="M1794" s="596" t="s">
        <v>419</v>
      </c>
      <c r="N1794" s="596" t="s">
        <v>59</v>
      </c>
      <c r="O1794" s="302"/>
      <c r="Q1794" s="595"/>
      <c r="R1794" s="484"/>
      <c r="S1794" s="595"/>
      <c r="T1794" s="595"/>
      <c r="U1794" s="595"/>
    </row>
    <row r="1795" spans="2:22" s="298" customFormat="1" ht="14.1" hidden="1" customHeight="1">
      <c r="B1795" s="951"/>
      <c r="C1795" s="655" t="s">
        <v>227</v>
      </c>
      <c r="D1795" s="967"/>
      <c r="E1795" s="968"/>
      <c r="F1795" s="654"/>
      <c r="G1795" s="972"/>
      <c r="H1795" s="972"/>
      <c r="I1795" s="655" t="s">
        <v>60</v>
      </c>
      <c r="J1795" s="655" t="s">
        <v>61</v>
      </c>
      <c r="K1795" s="655" t="s">
        <v>61</v>
      </c>
      <c r="L1795" s="598" t="s">
        <v>421</v>
      </c>
      <c r="M1795" s="598"/>
      <c r="N1795" s="598" t="s">
        <v>423</v>
      </c>
      <c r="O1795" s="302"/>
      <c r="Q1795" s="595"/>
      <c r="R1795" s="484"/>
      <c r="S1795" s="595"/>
      <c r="T1795" s="595"/>
      <c r="U1795" s="595"/>
    </row>
    <row r="1796" spans="2:22" s="298" customFormat="1" ht="14.1" hidden="1" customHeight="1">
      <c r="B1796" s="951"/>
      <c r="C1796" s="600"/>
      <c r="D1796" s="969"/>
      <c r="E1796" s="970"/>
      <c r="F1796" s="601"/>
      <c r="G1796" s="973"/>
      <c r="H1796" s="973"/>
      <c r="I1796" s="600" t="s">
        <v>61</v>
      </c>
      <c r="J1796" s="602"/>
      <c r="K1796" s="602"/>
      <c r="L1796" s="602"/>
      <c r="M1796" s="602"/>
      <c r="N1796" s="600" t="s">
        <v>61</v>
      </c>
      <c r="O1796" s="302"/>
      <c r="Q1796" s="595"/>
      <c r="R1796" s="484"/>
      <c r="S1796" s="595"/>
      <c r="T1796" s="595"/>
      <c r="U1796" s="595"/>
    </row>
    <row r="1797" spans="2:22" s="298" customFormat="1" ht="14.1" hidden="1" customHeight="1">
      <c r="B1797" s="951"/>
      <c r="C1797" s="683" t="s">
        <v>213</v>
      </c>
      <c r="D1797" s="694" t="s">
        <v>62</v>
      </c>
      <c r="E1797" s="722" t="s">
        <v>664</v>
      </c>
      <c r="F1797" s="722"/>
      <c r="G1797" s="698" t="s">
        <v>45</v>
      </c>
      <c r="H1797" s="723">
        <v>1</v>
      </c>
      <c r="I1797" s="522">
        <f>'UPH-TNG'!I89</f>
        <v>55000</v>
      </c>
      <c r="J1797" s="522">
        <f>ROUND(H1797*I1797,2)</f>
        <v>55000</v>
      </c>
      <c r="K1797" s="523"/>
      <c r="L1797" s="501">
        <v>0</v>
      </c>
      <c r="M1797" s="494"/>
      <c r="N1797" s="491">
        <f t="shared" ref="N1797:N1805" si="118">L1797*J1797</f>
        <v>0</v>
      </c>
      <c r="O1797" s="302"/>
      <c r="Q1797" s="595"/>
      <c r="R1797" s="484"/>
      <c r="S1797" s="595"/>
      <c r="T1797" s="595"/>
      <c r="U1797" s="595"/>
      <c r="V1797" s="298">
        <v>850000</v>
      </c>
    </row>
    <row r="1798" spans="2:22" s="298" customFormat="1" ht="14.1" hidden="1" customHeight="1">
      <c r="B1798" s="951"/>
      <c r="C1798" s="655"/>
      <c r="D1798" s="685"/>
      <c r="E1798" s="724"/>
      <c r="F1798" s="725"/>
      <c r="G1798" s="696"/>
      <c r="H1798" s="726"/>
      <c r="I1798" s="533"/>
      <c r="J1798" s="527"/>
      <c r="K1798" s="522">
        <f>SUM(J1797:J1797)</f>
        <v>55000</v>
      </c>
      <c r="L1798" s="493"/>
      <c r="M1798" s="494"/>
      <c r="N1798" s="491">
        <f t="shared" si="118"/>
        <v>0</v>
      </c>
      <c r="O1798" s="302"/>
      <c r="Q1798" s="595"/>
      <c r="R1798" s="484"/>
      <c r="S1798" s="595"/>
      <c r="T1798" s="595"/>
      <c r="U1798" s="595"/>
    </row>
    <row r="1799" spans="2:22" s="298" customFormat="1" ht="14.1" hidden="1" customHeight="1">
      <c r="B1799" s="951"/>
      <c r="C1799" s="683" t="s">
        <v>214</v>
      </c>
      <c r="D1799" s="694" t="s">
        <v>63</v>
      </c>
      <c r="E1799" s="722" t="s">
        <v>5</v>
      </c>
      <c r="F1799" s="722"/>
      <c r="G1799" s="698" t="s">
        <v>66</v>
      </c>
      <c r="H1799" s="723">
        <v>0.1</v>
      </c>
      <c r="I1799" s="512">
        <f>'UPH-TNG'!$I$15</f>
        <v>92000</v>
      </c>
      <c r="J1799" s="522">
        <f>ROUND(H1799*I1799,2)</f>
        <v>9200</v>
      </c>
      <c r="K1799" s="523"/>
      <c r="L1799" s="493">
        <v>1</v>
      </c>
      <c r="M1799" s="493" t="s">
        <v>422</v>
      </c>
      <c r="N1799" s="491">
        <f t="shared" si="118"/>
        <v>9200</v>
      </c>
      <c r="O1799" s="302"/>
      <c r="Q1799" s="595"/>
      <c r="R1799" s="484"/>
      <c r="S1799" s="595"/>
      <c r="T1799" s="595"/>
      <c r="U1799" s="595"/>
    </row>
    <row r="1800" spans="2:22" s="298" customFormat="1" ht="14.1" hidden="1" customHeight="1">
      <c r="B1800" s="951"/>
      <c r="C1800" s="685"/>
      <c r="D1800" s="685"/>
      <c r="E1800" s="722" t="s">
        <v>65</v>
      </c>
      <c r="F1800" s="722"/>
      <c r="G1800" s="698" t="s">
        <v>66</v>
      </c>
      <c r="H1800" s="723">
        <v>0.01</v>
      </c>
      <c r="I1800" s="512">
        <f>'UPH-TNG'!$I$20</f>
        <v>98000</v>
      </c>
      <c r="J1800" s="522">
        <f>ROUND(H1800*I1800,2)</f>
        <v>980</v>
      </c>
      <c r="K1800" s="524"/>
      <c r="L1800" s="493">
        <v>1</v>
      </c>
      <c r="M1800" s="493" t="s">
        <v>422</v>
      </c>
      <c r="N1800" s="491">
        <f t="shared" si="118"/>
        <v>980</v>
      </c>
      <c r="O1800" s="302"/>
      <c r="Q1800" s="595"/>
      <c r="R1800" s="484"/>
      <c r="S1800" s="595"/>
      <c r="T1800" s="595"/>
      <c r="U1800" s="595"/>
    </row>
    <row r="1801" spans="2:22" s="298" customFormat="1" ht="14.1" hidden="1" customHeight="1">
      <c r="B1801" s="951"/>
      <c r="C1801" s="600"/>
      <c r="D1801" s="602"/>
      <c r="E1801" s="695"/>
      <c r="F1801" s="691"/>
      <c r="G1801" s="696"/>
      <c r="H1801" s="697"/>
      <c r="I1801" s="533"/>
      <c r="J1801" s="527"/>
      <c r="K1801" s="528">
        <f>SUM(J1799:J1800)</f>
        <v>10180</v>
      </c>
      <c r="L1801" s="493"/>
      <c r="M1801" s="494"/>
      <c r="N1801" s="491">
        <f t="shared" si="118"/>
        <v>0</v>
      </c>
      <c r="O1801" s="302"/>
      <c r="Q1801" s="595"/>
      <c r="R1801" s="484"/>
      <c r="S1801" s="595"/>
      <c r="T1801" s="595"/>
      <c r="U1801" s="595"/>
    </row>
    <row r="1802" spans="2:22" s="298" customFormat="1" ht="14.1" hidden="1" customHeight="1">
      <c r="B1802" s="951"/>
      <c r="C1802" s="655" t="s">
        <v>215</v>
      </c>
      <c r="D1802" s="694" t="s">
        <v>212</v>
      </c>
      <c r="E1802" s="687"/>
      <c r="F1802" s="687"/>
      <c r="G1802" s="698"/>
      <c r="H1802" s="699"/>
      <c r="I1802" s="700"/>
      <c r="J1802" s="522"/>
      <c r="K1802" s="523"/>
      <c r="L1802" s="493"/>
      <c r="M1802" s="494"/>
      <c r="N1802" s="491">
        <f t="shared" si="118"/>
        <v>0</v>
      </c>
      <c r="O1802" s="302"/>
      <c r="Q1802" s="595"/>
      <c r="R1802" s="484"/>
      <c r="S1802" s="595"/>
      <c r="T1802" s="595"/>
      <c r="U1802" s="595"/>
    </row>
    <row r="1803" spans="2:22" s="298" customFormat="1" ht="14.1" hidden="1" customHeight="1">
      <c r="B1803" s="951"/>
      <c r="C1803" s="655"/>
      <c r="D1803" s="685"/>
      <c r="E1803" s="695"/>
      <c r="F1803" s="691"/>
      <c r="G1803" s="696"/>
      <c r="H1803" s="697"/>
      <c r="I1803" s="701"/>
      <c r="J1803" s="527"/>
      <c r="K1803" s="523"/>
      <c r="L1803" s="493"/>
      <c r="M1803" s="494"/>
      <c r="N1803" s="491">
        <f t="shared" si="118"/>
        <v>0</v>
      </c>
      <c r="O1803" s="302"/>
      <c r="Q1803" s="595"/>
      <c r="R1803" s="484"/>
      <c r="S1803" s="595"/>
      <c r="T1803" s="595"/>
      <c r="U1803" s="595"/>
    </row>
    <row r="1804" spans="2:22" s="298" customFormat="1" ht="14.1" hidden="1" customHeight="1">
      <c r="B1804" s="951"/>
      <c r="C1804" s="655"/>
      <c r="D1804" s="685"/>
      <c r="E1804" s="695"/>
      <c r="F1804" s="691"/>
      <c r="G1804" s="696"/>
      <c r="H1804" s="697"/>
      <c r="I1804" s="701"/>
      <c r="J1804" s="527"/>
      <c r="K1804" s="523"/>
      <c r="L1804" s="493"/>
      <c r="M1804" s="494"/>
      <c r="N1804" s="491">
        <f t="shared" si="118"/>
        <v>0</v>
      </c>
      <c r="O1804" s="302"/>
      <c r="Q1804" s="595"/>
      <c r="R1804" s="484"/>
      <c r="S1804" s="595"/>
      <c r="T1804" s="595"/>
      <c r="U1804" s="595"/>
    </row>
    <row r="1805" spans="2:22" s="298" customFormat="1" ht="14.1" hidden="1" customHeight="1">
      <c r="B1805" s="951"/>
      <c r="C1805" s="600"/>
      <c r="D1805" s="602"/>
      <c r="E1805" s="695"/>
      <c r="F1805" s="691"/>
      <c r="G1805" s="696"/>
      <c r="H1805" s="697"/>
      <c r="I1805" s="701"/>
      <c r="J1805" s="527"/>
      <c r="K1805" s="528">
        <f>SUM(J1802:J1802)</f>
        <v>0</v>
      </c>
      <c r="L1805" s="493"/>
      <c r="M1805" s="494"/>
      <c r="N1805" s="491">
        <f t="shared" si="118"/>
        <v>0</v>
      </c>
      <c r="O1805" s="302"/>
      <c r="Q1805" s="595"/>
      <c r="R1805" s="484"/>
      <c r="S1805" s="595"/>
      <c r="T1805" s="595"/>
      <c r="U1805" s="595"/>
    </row>
    <row r="1806" spans="2:22" s="298" customFormat="1" ht="14.1" hidden="1" customHeight="1">
      <c r="B1806" s="951"/>
      <c r="C1806" s="600" t="s">
        <v>216</v>
      </c>
      <c r="D1806" s="619" t="s">
        <v>219</v>
      </c>
      <c r="E1806" s="691"/>
      <c r="F1806" s="691"/>
      <c r="G1806" s="696"/>
      <c r="H1806" s="697"/>
      <c r="I1806" s="701"/>
      <c r="J1806" s="529" t="s">
        <v>220</v>
      </c>
      <c r="K1806" s="528">
        <f>K1798+K1801+K1805</f>
        <v>65180</v>
      </c>
      <c r="L1806" s="620">
        <f>N1806/K1806</f>
        <v>0.15618287818349186</v>
      </c>
      <c r="M1806" s="497"/>
      <c r="N1806" s="498">
        <f>SUM(N1796:N1805)</f>
        <v>10180</v>
      </c>
      <c r="O1806" s="302"/>
      <c r="Q1806" s="595"/>
      <c r="R1806" s="484"/>
      <c r="S1806" s="595"/>
      <c r="T1806" s="595"/>
      <c r="U1806" s="595"/>
    </row>
    <row r="1807" spans="2:22" s="298" customFormat="1" ht="14.1" hidden="1" customHeight="1">
      <c r="B1807" s="951"/>
      <c r="C1807" s="600" t="s">
        <v>217</v>
      </c>
      <c r="D1807" s="619" t="s">
        <v>221</v>
      </c>
      <c r="E1807" s="691"/>
      <c r="F1807" s="499">
        <f>$F$48</f>
        <v>0.1</v>
      </c>
      <c r="G1807" s="605" t="s">
        <v>168</v>
      </c>
      <c r="H1807" s="499">
        <f>$H$48</f>
        <v>0.02</v>
      </c>
      <c r="I1807" s="702" t="s">
        <v>167</v>
      </c>
      <c r="J1807" s="528" t="s">
        <v>216</v>
      </c>
      <c r="K1807" s="530">
        <f>ROUND((K1806*(F1807+H1807)),2)</f>
        <v>7821.6</v>
      </c>
      <c r="L1807" s="494"/>
      <c r="M1807" s="494"/>
      <c r="N1807" s="494"/>
      <c r="O1807" s="302"/>
      <c r="Q1807" s="595"/>
      <c r="R1807" s="484"/>
      <c r="S1807" s="595"/>
      <c r="T1807" s="595"/>
      <c r="U1807" s="595"/>
    </row>
    <row r="1808" spans="2:22" s="298" customFormat="1" ht="14.1" hidden="1" customHeight="1">
      <c r="B1808" s="951"/>
      <c r="C1808" s="622" t="s">
        <v>222</v>
      </c>
      <c r="D1808" s="703" t="s">
        <v>76</v>
      </c>
      <c r="E1808" s="704"/>
      <c r="F1808" s="704"/>
      <c r="G1808" s="704"/>
      <c r="H1808" s="705"/>
      <c r="I1808" s="704"/>
      <c r="J1808" s="706" t="s">
        <v>226</v>
      </c>
      <c r="K1808" s="707">
        <f>SUM(K1806:K1807)</f>
        <v>73001.600000000006</v>
      </c>
      <c r="L1808" s="620"/>
      <c r="M1808" s="626"/>
      <c r="N1808" s="635"/>
      <c r="O1808" s="302"/>
      <c r="Q1808" s="595"/>
      <c r="R1808" s="484"/>
      <c r="S1808" s="595"/>
      <c r="T1808" s="595"/>
      <c r="U1808" s="595"/>
    </row>
    <row r="1809" spans="2:22" hidden="1">
      <c r="Q1809" s="595"/>
      <c r="R1809" s="484"/>
      <c r="S1809" s="595"/>
      <c r="T1809" s="595"/>
      <c r="U1809" s="595"/>
    </row>
    <row r="1810" spans="2:22" s="298" customFormat="1" ht="14.1" hidden="1" customHeight="1">
      <c r="B1810" s="951">
        <f>B1792+1</f>
        <v>93</v>
      </c>
      <c r="C1810" s="488"/>
      <c r="D1810" s="590" t="s">
        <v>658</v>
      </c>
      <c r="E1810" s="485"/>
      <c r="F1810" s="485"/>
      <c r="G1810" s="485"/>
      <c r="H1810" s="488"/>
      <c r="I1810" s="485"/>
      <c r="J1810" s="485"/>
      <c r="K1810" s="591" t="s">
        <v>239</v>
      </c>
      <c r="L1810" s="591"/>
      <c r="M1810" s="591"/>
      <c r="N1810" s="591"/>
      <c r="O1810" s="302" t="str">
        <f>D1811</f>
        <v>bh</v>
      </c>
      <c r="P1810" s="592">
        <f>K1827</f>
        <v>84201.600000000006</v>
      </c>
      <c r="Q1810" s="593">
        <f>L1825</f>
        <v>0.13540835328544826</v>
      </c>
      <c r="R1810" s="484">
        <f>N1825</f>
        <v>10180</v>
      </c>
      <c r="S1810" s="594"/>
      <c r="T1810" s="484"/>
      <c r="U1810" s="593"/>
    </row>
    <row r="1811" spans="2:22" s="298" customFormat="1" ht="14.1" hidden="1" customHeight="1">
      <c r="B1811" s="951"/>
      <c r="C1811" s="488"/>
      <c r="D1811" s="485" t="s">
        <v>45</v>
      </c>
      <c r="E1811" s="485"/>
      <c r="F1811" s="485"/>
      <c r="G1811" s="485"/>
      <c r="H1811" s="488"/>
      <c r="I1811" s="485"/>
      <c r="J1811" s="485"/>
      <c r="K1811" s="485"/>
      <c r="L1811" s="485"/>
      <c r="M1811" s="485"/>
      <c r="N1811" s="485"/>
      <c r="O1811" s="302"/>
      <c r="Q1811" s="595"/>
      <c r="R1811" s="484"/>
      <c r="S1811" s="595"/>
      <c r="T1811" s="595"/>
      <c r="U1811" s="595"/>
    </row>
    <row r="1812" spans="2:22" s="298" customFormat="1" ht="14.1" hidden="1" customHeight="1">
      <c r="B1812" s="951"/>
      <c r="C1812" s="683"/>
      <c r="D1812" s="965" t="s">
        <v>55</v>
      </c>
      <c r="E1812" s="966"/>
      <c r="F1812" s="684"/>
      <c r="G1812" s="971" t="s">
        <v>56</v>
      </c>
      <c r="H1812" s="971" t="s">
        <v>57</v>
      </c>
      <c r="I1812" s="683" t="s">
        <v>58</v>
      </c>
      <c r="J1812" s="683" t="s">
        <v>59</v>
      </c>
      <c r="K1812" s="683" t="s">
        <v>102</v>
      </c>
      <c r="L1812" s="596" t="s">
        <v>418</v>
      </c>
      <c r="M1812" s="596" t="s">
        <v>419</v>
      </c>
      <c r="N1812" s="596" t="s">
        <v>59</v>
      </c>
      <c r="O1812" s="302"/>
      <c r="Q1812" s="595"/>
      <c r="R1812" s="484"/>
      <c r="S1812" s="595"/>
      <c r="T1812" s="595"/>
      <c r="U1812" s="595"/>
    </row>
    <row r="1813" spans="2:22" s="298" customFormat="1" ht="14.1" hidden="1" customHeight="1">
      <c r="B1813" s="951"/>
      <c r="C1813" s="655" t="s">
        <v>227</v>
      </c>
      <c r="D1813" s="967"/>
      <c r="E1813" s="968"/>
      <c r="F1813" s="654"/>
      <c r="G1813" s="972"/>
      <c r="H1813" s="972"/>
      <c r="I1813" s="655" t="s">
        <v>60</v>
      </c>
      <c r="J1813" s="655" t="s">
        <v>61</v>
      </c>
      <c r="K1813" s="655" t="s">
        <v>61</v>
      </c>
      <c r="L1813" s="598" t="s">
        <v>421</v>
      </c>
      <c r="M1813" s="598"/>
      <c r="N1813" s="598" t="s">
        <v>423</v>
      </c>
      <c r="O1813" s="302"/>
      <c r="Q1813" s="595"/>
      <c r="R1813" s="484"/>
      <c r="S1813" s="595"/>
      <c r="T1813" s="595"/>
      <c r="U1813" s="595"/>
    </row>
    <row r="1814" spans="2:22" s="298" customFormat="1" ht="14.1" hidden="1" customHeight="1">
      <c r="B1814" s="951"/>
      <c r="C1814" s="600"/>
      <c r="D1814" s="969"/>
      <c r="E1814" s="970"/>
      <c r="F1814" s="601"/>
      <c r="G1814" s="973"/>
      <c r="H1814" s="973"/>
      <c r="I1814" s="600" t="s">
        <v>61</v>
      </c>
      <c r="J1814" s="602"/>
      <c r="K1814" s="602"/>
      <c r="L1814" s="602"/>
      <c r="M1814" s="602"/>
      <c r="N1814" s="600" t="s">
        <v>61</v>
      </c>
      <c r="O1814" s="302"/>
      <c r="Q1814" s="595"/>
      <c r="R1814" s="484"/>
      <c r="S1814" s="595"/>
      <c r="T1814" s="595"/>
      <c r="U1814" s="595"/>
    </row>
    <row r="1815" spans="2:22" s="298" customFormat="1" ht="14.1" hidden="1" customHeight="1">
      <c r="B1815" s="951"/>
      <c r="C1815" s="683" t="s">
        <v>213</v>
      </c>
      <c r="D1815" s="694" t="s">
        <v>62</v>
      </c>
      <c r="E1815" s="722" t="s">
        <v>659</v>
      </c>
      <c r="F1815" s="722"/>
      <c r="G1815" s="698" t="s">
        <v>45</v>
      </c>
      <c r="H1815" s="723">
        <v>1</v>
      </c>
      <c r="I1815" s="522">
        <f>'UPH-TNG'!I91</f>
        <v>65000</v>
      </c>
      <c r="J1815" s="522">
        <f>ROUND(H1815*I1815,2)</f>
        <v>65000</v>
      </c>
      <c r="K1815" s="523"/>
      <c r="L1815" s="501">
        <v>0</v>
      </c>
      <c r="M1815" s="494"/>
      <c r="N1815" s="491">
        <f t="shared" ref="N1815:N1824" si="119">L1815*J1815</f>
        <v>0</v>
      </c>
      <c r="O1815" s="302"/>
      <c r="Q1815" s="595"/>
      <c r="R1815" s="484"/>
      <c r="S1815" s="595"/>
      <c r="T1815" s="595"/>
      <c r="U1815" s="595"/>
      <c r="V1815" s="298">
        <v>850000</v>
      </c>
    </row>
    <row r="1816" spans="2:22" s="298" customFormat="1" ht="14.1" hidden="1" customHeight="1">
      <c r="B1816" s="951"/>
      <c r="C1816" s="670"/>
      <c r="D1816" s="666"/>
      <c r="E1816" s="738"/>
      <c r="F1816" s="739"/>
      <c r="G1816" s="740"/>
      <c r="H1816" s="741"/>
      <c r="I1816" s="548"/>
      <c r="J1816" s="544"/>
      <c r="K1816" s="542"/>
      <c r="L1816" s="575"/>
      <c r="M1816" s="536"/>
      <c r="N1816" s="537"/>
      <c r="O1816" s="302"/>
      <c r="Q1816" s="595"/>
      <c r="R1816" s="484"/>
      <c r="S1816" s="595"/>
      <c r="T1816" s="595"/>
      <c r="U1816" s="595"/>
    </row>
    <row r="1817" spans="2:22" s="298" customFormat="1" ht="14.1" hidden="1" customHeight="1">
      <c r="B1817" s="951"/>
      <c r="C1817" s="655"/>
      <c r="D1817" s="685"/>
      <c r="E1817" s="724"/>
      <c r="F1817" s="725"/>
      <c r="G1817" s="696"/>
      <c r="H1817" s="726"/>
      <c r="I1817" s="533"/>
      <c r="J1817" s="527"/>
      <c r="K1817" s="522">
        <f>SUM(J1815:J1815)</f>
        <v>65000</v>
      </c>
      <c r="L1817" s="493"/>
      <c r="M1817" s="494"/>
      <c r="N1817" s="491">
        <f t="shared" si="119"/>
        <v>0</v>
      </c>
      <c r="O1817" s="302"/>
      <c r="Q1817" s="595"/>
      <c r="R1817" s="484"/>
      <c r="S1817" s="595"/>
      <c r="T1817" s="595"/>
      <c r="U1817" s="595"/>
    </row>
    <row r="1818" spans="2:22" s="298" customFormat="1" ht="14.1" hidden="1" customHeight="1">
      <c r="B1818" s="951"/>
      <c r="C1818" s="683" t="s">
        <v>214</v>
      </c>
      <c r="D1818" s="694" t="s">
        <v>63</v>
      </c>
      <c r="E1818" s="722" t="s">
        <v>5</v>
      </c>
      <c r="F1818" s="722"/>
      <c r="G1818" s="698" t="s">
        <v>66</v>
      </c>
      <c r="H1818" s="723">
        <v>0.1</v>
      </c>
      <c r="I1818" s="512">
        <f>'UPH-TNG'!$I$15</f>
        <v>92000</v>
      </c>
      <c r="J1818" s="522">
        <f>ROUND(H1818*I1818,2)</f>
        <v>9200</v>
      </c>
      <c r="K1818" s="523"/>
      <c r="L1818" s="493">
        <v>1</v>
      </c>
      <c r="M1818" s="493" t="s">
        <v>422</v>
      </c>
      <c r="N1818" s="491">
        <f t="shared" si="119"/>
        <v>9200</v>
      </c>
      <c r="O1818" s="302"/>
      <c r="Q1818" s="595"/>
      <c r="R1818" s="484"/>
      <c r="S1818" s="595"/>
      <c r="T1818" s="595"/>
      <c r="U1818" s="595"/>
    </row>
    <row r="1819" spans="2:22" s="298" customFormat="1" ht="14.1" hidden="1" customHeight="1">
      <c r="B1819" s="951"/>
      <c r="C1819" s="685"/>
      <c r="D1819" s="685"/>
      <c r="E1819" s="722" t="s">
        <v>65</v>
      </c>
      <c r="F1819" s="722"/>
      <c r="G1819" s="698" t="s">
        <v>66</v>
      </c>
      <c r="H1819" s="723">
        <v>0.01</v>
      </c>
      <c r="I1819" s="512">
        <f>'UPH-TNG'!$I$20</f>
        <v>98000</v>
      </c>
      <c r="J1819" s="522">
        <f>ROUND(H1819*I1819,2)</f>
        <v>980</v>
      </c>
      <c r="K1819" s="524"/>
      <c r="L1819" s="493">
        <v>1</v>
      </c>
      <c r="M1819" s="493" t="s">
        <v>422</v>
      </c>
      <c r="N1819" s="491">
        <f t="shared" si="119"/>
        <v>980</v>
      </c>
      <c r="O1819" s="302"/>
      <c r="Q1819" s="595"/>
      <c r="R1819" s="484"/>
      <c r="S1819" s="595"/>
      <c r="T1819" s="595"/>
      <c r="U1819" s="595"/>
    </row>
    <row r="1820" spans="2:22" s="298" customFormat="1" ht="14.1" hidden="1" customHeight="1">
      <c r="B1820" s="951"/>
      <c r="C1820" s="600"/>
      <c r="D1820" s="602"/>
      <c r="E1820" s="695"/>
      <c r="F1820" s="691"/>
      <c r="G1820" s="696"/>
      <c r="H1820" s="697"/>
      <c r="I1820" s="533"/>
      <c r="J1820" s="527"/>
      <c r="K1820" s="528">
        <f>SUM(J1818:J1819)</f>
        <v>10180</v>
      </c>
      <c r="L1820" s="493"/>
      <c r="M1820" s="494"/>
      <c r="N1820" s="491">
        <f t="shared" si="119"/>
        <v>0</v>
      </c>
      <c r="O1820" s="302"/>
      <c r="Q1820" s="595"/>
      <c r="R1820" s="484"/>
      <c r="S1820" s="595"/>
      <c r="T1820" s="595"/>
      <c r="U1820" s="595"/>
    </row>
    <row r="1821" spans="2:22" s="298" customFormat="1" ht="14.1" hidden="1" customHeight="1">
      <c r="B1821" s="951"/>
      <c r="C1821" s="655" t="s">
        <v>215</v>
      </c>
      <c r="D1821" s="694" t="s">
        <v>212</v>
      </c>
      <c r="E1821" s="687"/>
      <c r="F1821" s="687"/>
      <c r="G1821" s="698"/>
      <c r="H1821" s="699"/>
      <c r="I1821" s="700"/>
      <c r="J1821" s="522"/>
      <c r="K1821" s="523"/>
      <c r="L1821" s="493"/>
      <c r="M1821" s="494"/>
      <c r="N1821" s="491">
        <f t="shared" si="119"/>
        <v>0</v>
      </c>
      <c r="O1821" s="302"/>
      <c r="Q1821" s="595"/>
      <c r="R1821" s="484"/>
      <c r="S1821" s="595"/>
      <c r="T1821" s="595"/>
      <c r="U1821" s="595"/>
    </row>
    <row r="1822" spans="2:22" s="298" customFormat="1" ht="14.1" hidden="1" customHeight="1">
      <c r="B1822" s="951"/>
      <c r="C1822" s="655"/>
      <c r="D1822" s="685"/>
      <c r="E1822" s="695"/>
      <c r="F1822" s="691"/>
      <c r="G1822" s="696"/>
      <c r="H1822" s="697"/>
      <c r="I1822" s="701"/>
      <c r="J1822" s="527"/>
      <c r="K1822" s="523"/>
      <c r="L1822" s="493"/>
      <c r="M1822" s="494"/>
      <c r="N1822" s="491">
        <f t="shared" si="119"/>
        <v>0</v>
      </c>
      <c r="O1822" s="302"/>
      <c r="Q1822" s="595"/>
      <c r="R1822" s="484"/>
      <c r="S1822" s="595"/>
      <c r="T1822" s="595"/>
      <c r="U1822" s="595"/>
    </row>
    <row r="1823" spans="2:22" s="298" customFormat="1" ht="14.1" hidden="1" customHeight="1">
      <c r="B1823" s="951"/>
      <c r="C1823" s="655"/>
      <c r="D1823" s="685"/>
      <c r="E1823" s="695"/>
      <c r="F1823" s="691"/>
      <c r="G1823" s="696"/>
      <c r="H1823" s="697"/>
      <c r="I1823" s="701"/>
      <c r="J1823" s="527"/>
      <c r="K1823" s="523"/>
      <c r="L1823" s="493"/>
      <c r="M1823" s="494"/>
      <c r="N1823" s="491">
        <f t="shared" si="119"/>
        <v>0</v>
      </c>
      <c r="O1823" s="302"/>
      <c r="Q1823" s="595"/>
      <c r="R1823" s="484"/>
      <c r="S1823" s="595"/>
      <c r="T1823" s="595"/>
      <c r="U1823" s="595"/>
    </row>
    <row r="1824" spans="2:22" s="298" customFormat="1" ht="14.1" hidden="1" customHeight="1">
      <c r="B1824" s="951"/>
      <c r="C1824" s="600"/>
      <c r="D1824" s="602"/>
      <c r="E1824" s="695"/>
      <c r="F1824" s="691"/>
      <c r="G1824" s="696"/>
      <c r="H1824" s="697"/>
      <c r="I1824" s="701"/>
      <c r="J1824" s="527"/>
      <c r="K1824" s="528">
        <f>SUM(J1821:J1821)</f>
        <v>0</v>
      </c>
      <c r="L1824" s="493"/>
      <c r="M1824" s="494"/>
      <c r="N1824" s="491">
        <f t="shared" si="119"/>
        <v>0</v>
      </c>
      <c r="O1824" s="302"/>
      <c r="Q1824" s="595"/>
      <c r="R1824" s="484"/>
      <c r="S1824" s="595"/>
      <c r="T1824" s="595"/>
      <c r="U1824" s="595"/>
    </row>
    <row r="1825" spans="2:22" s="298" customFormat="1" ht="14.1" hidden="1" customHeight="1">
      <c r="B1825" s="951"/>
      <c r="C1825" s="600" t="s">
        <v>216</v>
      </c>
      <c r="D1825" s="619" t="s">
        <v>219</v>
      </c>
      <c r="E1825" s="691"/>
      <c r="F1825" s="691"/>
      <c r="G1825" s="696"/>
      <c r="H1825" s="697"/>
      <c r="I1825" s="701"/>
      <c r="J1825" s="529" t="s">
        <v>220</v>
      </c>
      <c r="K1825" s="528">
        <f>K1817+K1820+K1824</f>
        <v>75180</v>
      </c>
      <c r="L1825" s="620">
        <f>N1825/K1825</f>
        <v>0.13540835328544826</v>
      </c>
      <c r="M1825" s="497"/>
      <c r="N1825" s="498">
        <f>SUM(N1814:N1824)</f>
        <v>10180</v>
      </c>
      <c r="O1825" s="302"/>
      <c r="Q1825" s="595"/>
      <c r="R1825" s="484"/>
      <c r="S1825" s="595"/>
      <c r="T1825" s="595"/>
      <c r="U1825" s="595"/>
    </row>
    <row r="1826" spans="2:22" s="298" customFormat="1" ht="14.1" hidden="1" customHeight="1">
      <c r="B1826" s="951"/>
      <c r="C1826" s="600" t="s">
        <v>217</v>
      </c>
      <c r="D1826" s="619" t="s">
        <v>221</v>
      </c>
      <c r="E1826" s="691"/>
      <c r="F1826" s="499">
        <f>$F$48</f>
        <v>0.1</v>
      </c>
      <c r="G1826" s="605" t="s">
        <v>168</v>
      </c>
      <c r="H1826" s="499">
        <f>$H$48</f>
        <v>0.02</v>
      </c>
      <c r="I1826" s="702" t="s">
        <v>167</v>
      </c>
      <c r="J1826" s="528" t="s">
        <v>216</v>
      </c>
      <c r="K1826" s="530">
        <f>ROUND((K1825*(F1826+H1826)),2)</f>
        <v>9021.6</v>
      </c>
      <c r="L1826" s="494"/>
      <c r="M1826" s="494"/>
      <c r="N1826" s="494"/>
      <c r="O1826" s="302"/>
      <c r="Q1826" s="595"/>
      <c r="R1826" s="484"/>
      <c r="S1826" s="595"/>
      <c r="T1826" s="595"/>
      <c r="U1826" s="595"/>
    </row>
    <row r="1827" spans="2:22" s="298" customFormat="1" ht="14.1" hidden="1" customHeight="1">
      <c r="B1827" s="951"/>
      <c r="C1827" s="622" t="s">
        <v>222</v>
      </c>
      <c r="D1827" s="703" t="s">
        <v>76</v>
      </c>
      <c r="E1827" s="704"/>
      <c r="F1827" s="704"/>
      <c r="G1827" s="704"/>
      <c r="H1827" s="705"/>
      <c r="I1827" s="704"/>
      <c r="J1827" s="706" t="s">
        <v>226</v>
      </c>
      <c r="K1827" s="707">
        <f>SUM(K1825:K1826)</f>
        <v>84201.600000000006</v>
      </c>
      <c r="L1827" s="620"/>
      <c r="M1827" s="626"/>
      <c r="N1827" s="635"/>
      <c r="O1827" s="302"/>
      <c r="Q1827" s="595"/>
      <c r="R1827" s="484"/>
      <c r="S1827" s="595"/>
      <c r="T1827" s="595"/>
      <c r="U1827" s="595"/>
    </row>
    <row r="1828" spans="2:22" hidden="1">
      <c r="Q1828" s="595"/>
      <c r="R1828" s="484"/>
      <c r="S1828" s="595"/>
      <c r="T1828" s="595"/>
      <c r="U1828" s="595"/>
    </row>
    <row r="1829" spans="2:22" s="298" customFormat="1" ht="14.1" hidden="1" customHeight="1">
      <c r="B1829" s="951">
        <f>B1810+1</f>
        <v>94</v>
      </c>
      <c r="C1829" s="488"/>
      <c r="D1829" s="590" t="s">
        <v>651</v>
      </c>
      <c r="E1829" s="485"/>
      <c r="F1829" s="485"/>
      <c r="G1829" s="485"/>
      <c r="H1829" s="488"/>
      <c r="I1829" s="485"/>
      <c r="J1829" s="485"/>
      <c r="K1829" s="591" t="s">
        <v>239</v>
      </c>
      <c r="L1829" s="591"/>
      <c r="M1829" s="591"/>
      <c r="N1829" s="591"/>
      <c r="O1829" s="302" t="str">
        <f>D1830</f>
        <v>m'</v>
      </c>
      <c r="P1829" s="592">
        <f>K1845</f>
        <v>24841.599999999999</v>
      </c>
      <c r="Q1829" s="593">
        <f>L1843</f>
        <v>0.45897204688908927</v>
      </c>
      <c r="R1829" s="484">
        <f>N1843</f>
        <v>10180</v>
      </c>
      <c r="S1829" s="594"/>
      <c r="T1829" s="484"/>
      <c r="U1829" s="593"/>
    </row>
    <row r="1830" spans="2:22" s="298" customFormat="1" ht="14.1" hidden="1" customHeight="1">
      <c r="B1830" s="951"/>
      <c r="C1830" s="488"/>
      <c r="D1830" s="485" t="s">
        <v>32</v>
      </c>
      <c r="E1830" s="485"/>
      <c r="F1830" s="485"/>
      <c r="G1830" s="485"/>
      <c r="H1830" s="488"/>
      <c r="I1830" s="485"/>
      <c r="J1830" s="485"/>
      <c r="K1830" s="485"/>
      <c r="L1830" s="485"/>
      <c r="M1830" s="485"/>
      <c r="N1830" s="485"/>
      <c r="O1830" s="302"/>
      <c r="Q1830" s="595"/>
      <c r="R1830" s="484"/>
      <c r="S1830" s="595"/>
      <c r="T1830" s="595"/>
      <c r="U1830" s="595"/>
    </row>
    <row r="1831" spans="2:22" s="298" customFormat="1" ht="14.1" hidden="1" customHeight="1">
      <c r="B1831" s="951"/>
      <c r="C1831" s="683"/>
      <c r="D1831" s="965" t="s">
        <v>55</v>
      </c>
      <c r="E1831" s="966"/>
      <c r="F1831" s="684"/>
      <c r="G1831" s="971" t="s">
        <v>56</v>
      </c>
      <c r="H1831" s="971" t="s">
        <v>57</v>
      </c>
      <c r="I1831" s="683" t="s">
        <v>58</v>
      </c>
      <c r="J1831" s="683" t="s">
        <v>59</v>
      </c>
      <c r="K1831" s="683" t="s">
        <v>102</v>
      </c>
      <c r="L1831" s="596" t="s">
        <v>418</v>
      </c>
      <c r="M1831" s="596" t="s">
        <v>419</v>
      </c>
      <c r="N1831" s="596" t="s">
        <v>59</v>
      </c>
      <c r="O1831" s="302"/>
      <c r="Q1831" s="595"/>
      <c r="R1831" s="484"/>
      <c r="S1831" s="595"/>
      <c r="T1831" s="595"/>
      <c r="U1831" s="595"/>
    </row>
    <row r="1832" spans="2:22" s="298" customFormat="1" ht="14.1" hidden="1" customHeight="1">
      <c r="B1832" s="951"/>
      <c r="C1832" s="655" t="s">
        <v>227</v>
      </c>
      <c r="D1832" s="967"/>
      <c r="E1832" s="968"/>
      <c r="F1832" s="654"/>
      <c r="G1832" s="972"/>
      <c r="H1832" s="972"/>
      <c r="I1832" s="655" t="s">
        <v>60</v>
      </c>
      <c r="J1832" s="655" t="s">
        <v>61</v>
      </c>
      <c r="K1832" s="655" t="s">
        <v>61</v>
      </c>
      <c r="L1832" s="598" t="s">
        <v>421</v>
      </c>
      <c r="M1832" s="598"/>
      <c r="N1832" s="598" t="s">
        <v>423</v>
      </c>
      <c r="O1832" s="302"/>
      <c r="Q1832" s="595"/>
      <c r="R1832" s="484"/>
      <c r="S1832" s="595"/>
      <c r="T1832" s="595"/>
      <c r="U1832" s="595"/>
    </row>
    <row r="1833" spans="2:22" s="298" customFormat="1" ht="14.1" hidden="1" customHeight="1">
      <c r="B1833" s="951"/>
      <c r="C1833" s="600"/>
      <c r="D1833" s="969"/>
      <c r="E1833" s="970"/>
      <c r="F1833" s="601"/>
      <c r="G1833" s="973"/>
      <c r="H1833" s="973"/>
      <c r="I1833" s="600" t="s">
        <v>61</v>
      </c>
      <c r="J1833" s="602"/>
      <c r="K1833" s="602"/>
      <c r="L1833" s="602"/>
      <c r="M1833" s="602"/>
      <c r="N1833" s="600" t="s">
        <v>61</v>
      </c>
      <c r="O1833" s="302"/>
      <c r="Q1833" s="595"/>
      <c r="R1833" s="484"/>
      <c r="S1833" s="595"/>
      <c r="T1833" s="595"/>
      <c r="U1833" s="595"/>
    </row>
    <row r="1834" spans="2:22" s="298" customFormat="1" ht="14.1" hidden="1" customHeight="1">
      <c r="B1834" s="951"/>
      <c r="C1834" s="683" t="s">
        <v>213</v>
      </c>
      <c r="D1834" s="694" t="s">
        <v>62</v>
      </c>
      <c r="E1834" s="722" t="s">
        <v>652</v>
      </c>
      <c r="F1834" s="722"/>
      <c r="G1834" s="698" t="s">
        <v>32</v>
      </c>
      <c r="H1834" s="723">
        <v>1</v>
      </c>
      <c r="I1834" s="522">
        <f>'UPH-TNG'!I92</f>
        <v>12000</v>
      </c>
      <c r="J1834" s="522">
        <f>ROUND(H1834*I1834,2)</f>
        <v>12000</v>
      </c>
      <c r="K1834" s="523"/>
      <c r="L1834" s="501">
        <v>0</v>
      </c>
      <c r="M1834" s="494"/>
      <c r="N1834" s="491">
        <f t="shared" ref="N1834" si="120">L1834*J1834</f>
        <v>0</v>
      </c>
      <c r="O1834" s="302"/>
      <c r="Q1834" s="595"/>
      <c r="R1834" s="484"/>
      <c r="S1834" s="595"/>
      <c r="T1834" s="595"/>
      <c r="U1834" s="595"/>
      <c r="V1834" s="298">
        <v>850000</v>
      </c>
    </row>
    <row r="1835" spans="2:22" s="298" customFormat="1" ht="14.1" hidden="1" customHeight="1">
      <c r="B1835" s="951"/>
      <c r="C1835" s="655"/>
      <c r="D1835" s="685"/>
      <c r="E1835" s="724"/>
      <c r="F1835" s="725"/>
      <c r="G1835" s="696"/>
      <c r="H1835" s="726"/>
      <c r="I1835" s="533"/>
      <c r="J1835" s="527"/>
      <c r="K1835" s="522">
        <f>SUM(J1834:J1834)</f>
        <v>12000</v>
      </c>
      <c r="L1835" s="493"/>
      <c r="M1835" s="494"/>
      <c r="N1835" s="491">
        <f t="shared" ref="N1835:N1842" si="121">L1835*J1835</f>
        <v>0</v>
      </c>
      <c r="O1835" s="302"/>
      <c r="Q1835" s="595"/>
      <c r="R1835" s="484"/>
      <c r="S1835" s="595"/>
      <c r="T1835" s="595"/>
      <c r="U1835" s="595"/>
    </row>
    <row r="1836" spans="2:22" s="298" customFormat="1" ht="14.1" hidden="1" customHeight="1">
      <c r="B1836" s="951"/>
      <c r="C1836" s="683" t="s">
        <v>214</v>
      </c>
      <c r="D1836" s="694" t="s">
        <v>63</v>
      </c>
      <c r="E1836" s="722" t="s">
        <v>5</v>
      </c>
      <c r="F1836" s="722"/>
      <c r="G1836" s="698" t="s">
        <v>66</v>
      </c>
      <c r="H1836" s="723">
        <v>0.1</v>
      </c>
      <c r="I1836" s="512">
        <f>'UPH-TNG'!$I$15</f>
        <v>92000</v>
      </c>
      <c r="J1836" s="522">
        <f>ROUND(H1836*I1836,2)</f>
        <v>9200</v>
      </c>
      <c r="K1836" s="523"/>
      <c r="L1836" s="493">
        <v>1</v>
      </c>
      <c r="M1836" s="493" t="s">
        <v>422</v>
      </c>
      <c r="N1836" s="491">
        <f t="shared" si="121"/>
        <v>9200</v>
      </c>
      <c r="O1836" s="302"/>
      <c r="Q1836" s="595"/>
      <c r="R1836" s="484"/>
      <c r="S1836" s="595"/>
      <c r="T1836" s="595"/>
      <c r="U1836" s="595"/>
    </row>
    <row r="1837" spans="2:22" s="298" customFormat="1" ht="14.1" hidden="1" customHeight="1">
      <c r="B1837" s="951"/>
      <c r="C1837" s="685"/>
      <c r="D1837" s="685"/>
      <c r="E1837" s="722" t="s">
        <v>65</v>
      </c>
      <c r="F1837" s="722"/>
      <c r="G1837" s="698" t="s">
        <v>66</v>
      </c>
      <c r="H1837" s="723">
        <v>0.01</v>
      </c>
      <c r="I1837" s="512">
        <f>'UPH-TNG'!$I$20</f>
        <v>98000</v>
      </c>
      <c r="J1837" s="522">
        <f>ROUND(H1837*I1837,2)</f>
        <v>980</v>
      </c>
      <c r="K1837" s="524"/>
      <c r="L1837" s="493">
        <v>1</v>
      </c>
      <c r="M1837" s="493" t="s">
        <v>422</v>
      </c>
      <c r="N1837" s="491">
        <f t="shared" si="121"/>
        <v>980</v>
      </c>
      <c r="O1837" s="302"/>
      <c r="Q1837" s="595"/>
      <c r="R1837" s="484"/>
      <c r="S1837" s="595"/>
      <c r="T1837" s="595"/>
      <c r="U1837" s="595"/>
    </row>
    <row r="1838" spans="2:22" s="298" customFormat="1" ht="14.1" hidden="1" customHeight="1">
      <c r="B1838" s="951"/>
      <c r="C1838" s="600"/>
      <c r="D1838" s="602"/>
      <c r="E1838" s="695"/>
      <c r="F1838" s="691"/>
      <c r="G1838" s="696"/>
      <c r="H1838" s="697"/>
      <c r="I1838" s="533"/>
      <c r="J1838" s="527"/>
      <c r="K1838" s="528">
        <f>SUM(J1836:J1837)</f>
        <v>10180</v>
      </c>
      <c r="L1838" s="493"/>
      <c r="M1838" s="494"/>
      <c r="N1838" s="491">
        <f t="shared" si="121"/>
        <v>0</v>
      </c>
      <c r="O1838" s="302"/>
      <c r="Q1838" s="595"/>
      <c r="R1838" s="484"/>
      <c r="S1838" s="595"/>
      <c r="T1838" s="595"/>
      <c r="U1838" s="595"/>
    </row>
    <row r="1839" spans="2:22" s="298" customFormat="1" ht="14.1" hidden="1" customHeight="1">
      <c r="B1839" s="951"/>
      <c r="C1839" s="655" t="s">
        <v>215</v>
      </c>
      <c r="D1839" s="694" t="s">
        <v>212</v>
      </c>
      <c r="E1839" s="687"/>
      <c r="F1839" s="687"/>
      <c r="G1839" s="698"/>
      <c r="H1839" s="699"/>
      <c r="I1839" s="700"/>
      <c r="J1839" s="522"/>
      <c r="K1839" s="523"/>
      <c r="L1839" s="493"/>
      <c r="M1839" s="494"/>
      <c r="N1839" s="491">
        <f t="shared" si="121"/>
        <v>0</v>
      </c>
      <c r="O1839" s="302"/>
      <c r="Q1839" s="595"/>
      <c r="R1839" s="484"/>
      <c r="S1839" s="595"/>
      <c r="T1839" s="595"/>
      <c r="U1839" s="595"/>
    </row>
    <row r="1840" spans="2:22" s="298" customFormat="1" ht="14.1" hidden="1" customHeight="1">
      <c r="B1840" s="951"/>
      <c r="C1840" s="655"/>
      <c r="D1840" s="685"/>
      <c r="E1840" s="695"/>
      <c r="F1840" s="691"/>
      <c r="G1840" s="696"/>
      <c r="H1840" s="697"/>
      <c r="I1840" s="701"/>
      <c r="J1840" s="527"/>
      <c r="K1840" s="523"/>
      <c r="L1840" s="493"/>
      <c r="M1840" s="494"/>
      <c r="N1840" s="491">
        <f t="shared" si="121"/>
        <v>0</v>
      </c>
      <c r="O1840" s="302"/>
      <c r="Q1840" s="595"/>
      <c r="R1840" s="484"/>
      <c r="S1840" s="595"/>
      <c r="T1840" s="595"/>
      <c r="U1840" s="595"/>
    </row>
    <row r="1841" spans="2:21" s="298" customFormat="1" ht="14.1" hidden="1" customHeight="1">
      <c r="B1841" s="951"/>
      <c r="C1841" s="655"/>
      <c r="D1841" s="685"/>
      <c r="E1841" s="695"/>
      <c r="F1841" s="691"/>
      <c r="G1841" s="696"/>
      <c r="H1841" s="697"/>
      <c r="I1841" s="701"/>
      <c r="J1841" s="527"/>
      <c r="K1841" s="523"/>
      <c r="L1841" s="493"/>
      <c r="M1841" s="494"/>
      <c r="N1841" s="491">
        <f t="shared" si="121"/>
        <v>0</v>
      </c>
      <c r="O1841" s="302"/>
      <c r="Q1841" s="595"/>
      <c r="R1841" s="484"/>
      <c r="S1841" s="595"/>
      <c r="T1841" s="595"/>
      <c r="U1841" s="595"/>
    </row>
    <row r="1842" spans="2:21" s="298" customFormat="1" ht="14.1" hidden="1" customHeight="1">
      <c r="B1842" s="951"/>
      <c r="C1842" s="600"/>
      <c r="D1842" s="602"/>
      <c r="E1842" s="695"/>
      <c r="F1842" s="691"/>
      <c r="G1842" s="696"/>
      <c r="H1842" s="697"/>
      <c r="I1842" s="701"/>
      <c r="J1842" s="527"/>
      <c r="K1842" s="528">
        <f>SUM(J1839:J1839)</f>
        <v>0</v>
      </c>
      <c r="L1842" s="493"/>
      <c r="M1842" s="494"/>
      <c r="N1842" s="491">
        <f t="shared" si="121"/>
        <v>0</v>
      </c>
      <c r="O1842" s="302"/>
      <c r="Q1842" s="595"/>
      <c r="R1842" s="484"/>
      <c r="S1842" s="595"/>
      <c r="T1842" s="595"/>
      <c r="U1842" s="595"/>
    </row>
    <row r="1843" spans="2:21" s="298" customFormat="1" ht="14.1" hidden="1" customHeight="1">
      <c r="B1843" s="951"/>
      <c r="C1843" s="600" t="s">
        <v>216</v>
      </c>
      <c r="D1843" s="619" t="s">
        <v>219</v>
      </c>
      <c r="E1843" s="691"/>
      <c r="F1843" s="691"/>
      <c r="G1843" s="696"/>
      <c r="H1843" s="697"/>
      <c r="I1843" s="701"/>
      <c r="J1843" s="529" t="s">
        <v>220</v>
      </c>
      <c r="K1843" s="528">
        <f>K1835+K1838+K1842</f>
        <v>22180</v>
      </c>
      <c r="L1843" s="620">
        <f>N1843/K1843</f>
        <v>0.45897204688908927</v>
      </c>
      <c r="M1843" s="497"/>
      <c r="N1843" s="498">
        <f>SUM(N1833:N1842)</f>
        <v>10180</v>
      </c>
      <c r="O1843" s="302"/>
      <c r="Q1843" s="595"/>
      <c r="R1843" s="484"/>
      <c r="S1843" s="595"/>
      <c r="T1843" s="595"/>
      <c r="U1843" s="595"/>
    </row>
    <row r="1844" spans="2:21" s="298" customFormat="1" ht="14.1" hidden="1" customHeight="1">
      <c r="B1844" s="951"/>
      <c r="C1844" s="600" t="s">
        <v>217</v>
      </c>
      <c r="D1844" s="619" t="s">
        <v>221</v>
      </c>
      <c r="E1844" s="691"/>
      <c r="F1844" s="499">
        <f>$F$48</f>
        <v>0.1</v>
      </c>
      <c r="G1844" s="605" t="s">
        <v>168</v>
      </c>
      <c r="H1844" s="499">
        <f>$H$48</f>
        <v>0.02</v>
      </c>
      <c r="I1844" s="702" t="s">
        <v>167</v>
      </c>
      <c r="J1844" s="528" t="s">
        <v>216</v>
      </c>
      <c r="K1844" s="530">
        <f>ROUND((K1843*(F1844+H1844)),2)</f>
        <v>2661.6</v>
      </c>
      <c r="L1844" s="494"/>
      <c r="M1844" s="494"/>
      <c r="N1844" s="494"/>
      <c r="O1844" s="302"/>
      <c r="Q1844" s="595"/>
      <c r="R1844" s="484"/>
      <c r="S1844" s="595"/>
      <c r="T1844" s="595"/>
      <c r="U1844" s="595"/>
    </row>
    <row r="1845" spans="2:21" s="298" customFormat="1" ht="14.1" hidden="1" customHeight="1">
      <c r="B1845" s="951"/>
      <c r="C1845" s="622" t="s">
        <v>222</v>
      </c>
      <c r="D1845" s="703" t="s">
        <v>76</v>
      </c>
      <c r="E1845" s="704"/>
      <c r="F1845" s="704"/>
      <c r="G1845" s="704"/>
      <c r="H1845" s="705"/>
      <c r="I1845" s="704"/>
      <c r="J1845" s="706" t="s">
        <v>226</v>
      </c>
      <c r="K1845" s="707">
        <f>SUM(K1843:K1844)</f>
        <v>24841.599999999999</v>
      </c>
      <c r="L1845" s="620"/>
      <c r="M1845" s="626"/>
      <c r="N1845" s="635"/>
      <c r="O1845" s="302"/>
      <c r="Q1845" s="595"/>
      <c r="R1845" s="484"/>
      <c r="S1845" s="595"/>
      <c r="T1845" s="595"/>
      <c r="U1845" s="595"/>
    </row>
    <row r="1846" spans="2:21" hidden="1">
      <c r="Q1846" s="595"/>
      <c r="R1846" s="484"/>
      <c r="S1846" s="595"/>
      <c r="T1846" s="595"/>
      <c r="U1846" s="595"/>
    </row>
    <row r="1847" spans="2:21" s="485" customFormat="1" ht="14.1" hidden="1" customHeight="1">
      <c r="B1847" s="951">
        <f>B1829+1</f>
        <v>95</v>
      </c>
      <c r="C1847" s="488"/>
      <c r="D1847" s="709" t="s">
        <v>28</v>
      </c>
      <c r="K1847" s="591" t="s">
        <v>239</v>
      </c>
      <c r="L1847" s="591"/>
      <c r="M1847" s="591"/>
      <c r="N1847" s="591"/>
      <c r="O1847" s="485" t="str">
        <f>D1848</f>
        <v>m2</v>
      </c>
      <c r="P1847" s="636">
        <f>K1864</f>
        <v>208611.20000000001</v>
      </c>
      <c r="Q1847" s="593">
        <f>L1862</f>
        <v>0.8281971437775153</v>
      </c>
      <c r="R1847" s="484">
        <f>N1862</f>
        <v>154260</v>
      </c>
      <c r="S1847" s="594"/>
      <c r="T1847" s="484"/>
      <c r="U1847" s="593"/>
    </row>
    <row r="1848" spans="2:21" s="485" customFormat="1" ht="14.1" hidden="1" customHeight="1">
      <c r="B1848" s="951"/>
      <c r="C1848" s="488"/>
      <c r="D1848" s="485" t="s">
        <v>100</v>
      </c>
      <c r="Q1848" s="595"/>
      <c r="R1848" s="484"/>
      <c r="S1848" s="595"/>
      <c r="T1848" s="595"/>
      <c r="U1848" s="595"/>
    </row>
    <row r="1849" spans="2:21" s="485" customFormat="1" ht="14.1" hidden="1" customHeight="1">
      <c r="B1849" s="951"/>
      <c r="C1849" s="596"/>
      <c r="D1849" s="977" t="s">
        <v>55</v>
      </c>
      <c r="E1849" s="978"/>
      <c r="F1849" s="597"/>
      <c r="G1849" s="981" t="s">
        <v>56</v>
      </c>
      <c r="H1849" s="981" t="s">
        <v>57</v>
      </c>
      <c r="I1849" s="596" t="s">
        <v>58</v>
      </c>
      <c r="J1849" s="596" t="s">
        <v>59</v>
      </c>
      <c r="K1849" s="596" t="s">
        <v>102</v>
      </c>
      <c r="L1849" s="596" t="s">
        <v>418</v>
      </c>
      <c r="M1849" s="596" t="s">
        <v>419</v>
      </c>
      <c r="N1849" s="596" t="s">
        <v>59</v>
      </c>
      <c r="Q1849" s="595"/>
      <c r="R1849" s="484"/>
      <c r="S1849" s="595"/>
      <c r="T1849" s="595"/>
      <c r="U1849" s="595"/>
    </row>
    <row r="1850" spans="2:21" s="485" customFormat="1" ht="14.1" hidden="1" customHeight="1">
      <c r="B1850" s="951"/>
      <c r="C1850" s="598" t="s">
        <v>227</v>
      </c>
      <c r="D1850" s="979"/>
      <c r="E1850" s="980"/>
      <c r="F1850" s="599"/>
      <c r="G1850" s="982"/>
      <c r="H1850" s="982"/>
      <c r="I1850" s="598" t="s">
        <v>60</v>
      </c>
      <c r="J1850" s="598" t="s">
        <v>61</v>
      </c>
      <c r="K1850" s="598" t="s">
        <v>61</v>
      </c>
      <c r="L1850" s="598" t="s">
        <v>421</v>
      </c>
      <c r="M1850" s="598"/>
      <c r="N1850" s="598" t="s">
        <v>423</v>
      </c>
      <c r="Q1850" s="595"/>
      <c r="R1850" s="484"/>
      <c r="S1850" s="595"/>
      <c r="T1850" s="595"/>
      <c r="U1850" s="595"/>
    </row>
    <row r="1851" spans="2:21" s="485" customFormat="1" ht="14.1" hidden="1" customHeight="1">
      <c r="B1851" s="951"/>
      <c r="C1851" s="600"/>
      <c r="D1851" s="969"/>
      <c r="E1851" s="970"/>
      <c r="F1851" s="601"/>
      <c r="G1851" s="973"/>
      <c r="H1851" s="973"/>
      <c r="I1851" s="600" t="s">
        <v>61</v>
      </c>
      <c r="J1851" s="602"/>
      <c r="K1851" s="602"/>
      <c r="L1851" s="602"/>
      <c r="M1851" s="602"/>
      <c r="N1851" s="600" t="s">
        <v>61</v>
      </c>
      <c r="Q1851" s="595"/>
      <c r="R1851" s="484"/>
      <c r="S1851" s="595"/>
      <c r="T1851" s="595"/>
      <c r="U1851" s="595"/>
    </row>
    <row r="1852" spans="2:21" s="485" customFormat="1" ht="14.1" hidden="1" customHeight="1">
      <c r="B1852" s="951"/>
      <c r="C1852" s="596" t="s">
        <v>213</v>
      </c>
      <c r="D1852" s="603" t="s">
        <v>62</v>
      </c>
      <c r="E1852" s="505" t="s">
        <v>159</v>
      </c>
      <c r="F1852" s="505"/>
      <c r="G1852" s="605" t="s">
        <v>100</v>
      </c>
      <c r="H1852" s="742">
        <v>1</v>
      </c>
      <c r="I1852" s="491">
        <f>'UPH-TNG'!$I$110</f>
        <v>128000</v>
      </c>
      <c r="J1852" s="491">
        <f>ROUND(H1852*I1852,2)</f>
        <v>128000</v>
      </c>
      <c r="K1852" s="492"/>
      <c r="L1852" s="493">
        <v>0.75</v>
      </c>
      <c r="M1852" s="494"/>
      <c r="N1852" s="491">
        <f t="shared" ref="N1852:N1861" si="122">L1852*J1852</f>
        <v>96000</v>
      </c>
      <c r="Q1852" s="595"/>
      <c r="R1852" s="484"/>
      <c r="S1852" s="595"/>
      <c r="T1852" s="595"/>
      <c r="U1852" s="595"/>
    </row>
    <row r="1853" spans="2:21" s="485" customFormat="1" ht="14.1" hidden="1" customHeight="1">
      <c r="B1853" s="951"/>
      <c r="C1853" s="607"/>
      <c r="D1853" s="607"/>
      <c r="E1853" s="710" t="s">
        <v>97</v>
      </c>
      <c r="F1853" s="710"/>
      <c r="G1853" s="605" t="s">
        <v>68</v>
      </c>
      <c r="H1853" s="742">
        <v>0.08</v>
      </c>
      <c r="I1853" s="491">
        <f>'UPH-TNG'!$I$107</f>
        <v>280000</v>
      </c>
      <c r="J1853" s="491">
        <f>ROUND(H1853*I1853,2)</f>
        <v>22400</v>
      </c>
      <c r="K1853" s="511"/>
      <c r="L1853" s="493">
        <v>1</v>
      </c>
      <c r="M1853" s="494"/>
      <c r="N1853" s="491">
        <f t="shared" si="122"/>
        <v>22400</v>
      </c>
      <c r="Q1853" s="595"/>
      <c r="R1853" s="484"/>
      <c r="S1853" s="595"/>
      <c r="T1853" s="595"/>
      <c r="U1853" s="595"/>
    </row>
    <row r="1854" spans="2:21" s="485" customFormat="1" ht="14.1" hidden="1" customHeight="1">
      <c r="B1854" s="951"/>
      <c r="C1854" s="598"/>
      <c r="D1854" s="607"/>
      <c r="E1854" s="712"/>
      <c r="F1854" s="713"/>
      <c r="G1854" s="610"/>
      <c r="H1854" s="743"/>
      <c r="I1854" s="504"/>
      <c r="J1854" s="495"/>
      <c r="K1854" s="491">
        <f>SUM(J1852:J1853)</f>
        <v>150400</v>
      </c>
      <c r="L1854" s="493"/>
      <c r="M1854" s="494"/>
      <c r="N1854" s="491">
        <f t="shared" si="122"/>
        <v>0</v>
      </c>
      <c r="Q1854" s="595"/>
      <c r="R1854" s="484"/>
      <c r="S1854" s="595"/>
      <c r="T1854" s="595"/>
      <c r="U1854" s="595"/>
    </row>
    <row r="1855" spans="2:21" s="485" customFormat="1" ht="14.1" hidden="1" customHeight="1">
      <c r="B1855" s="951"/>
      <c r="C1855" s="596" t="s">
        <v>214</v>
      </c>
      <c r="D1855" s="603" t="s">
        <v>63</v>
      </c>
      <c r="E1855" s="710" t="s">
        <v>64</v>
      </c>
      <c r="F1855" s="710"/>
      <c r="G1855" s="605" t="s">
        <v>66</v>
      </c>
      <c r="H1855" s="742">
        <v>0.15</v>
      </c>
      <c r="I1855" s="491">
        <f>'UPH-TNG'!$I$15</f>
        <v>92000</v>
      </c>
      <c r="J1855" s="491">
        <f>ROUND(H1855*I1855,2)</f>
        <v>13800</v>
      </c>
      <c r="K1855" s="492"/>
      <c r="L1855" s="493">
        <v>1</v>
      </c>
      <c r="M1855" s="493" t="s">
        <v>422</v>
      </c>
      <c r="N1855" s="491">
        <f t="shared" si="122"/>
        <v>13800</v>
      </c>
      <c r="Q1855" s="595"/>
      <c r="R1855" s="484"/>
      <c r="S1855" s="595"/>
      <c r="T1855" s="595"/>
      <c r="U1855" s="595"/>
    </row>
    <row r="1856" spans="2:21" s="485" customFormat="1" ht="14.1" hidden="1" customHeight="1">
      <c r="B1856" s="951"/>
      <c r="C1856" s="607"/>
      <c r="D1856" s="607"/>
      <c r="E1856" s="710" t="s">
        <v>125</v>
      </c>
      <c r="F1856" s="710"/>
      <c r="G1856" s="605" t="s">
        <v>66</v>
      </c>
      <c r="H1856" s="742">
        <v>0.2</v>
      </c>
      <c r="I1856" s="491">
        <f>'UPH-TNG'!$I$21</f>
        <v>95000</v>
      </c>
      <c r="J1856" s="491">
        <f>ROUND(H1856*I1856,2)</f>
        <v>19000</v>
      </c>
      <c r="K1856" s="496"/>
      <c r="L1856" s="493">
        <v>1</v>
      </c>
      <c r="M1856" s="493" t="s">
        <v>422</v>
      </c>
      <c r="N1856" s="491">
        <f t="shared" si="122"/>
        <v>19000</v>
      </c>
      <c r="Q1856" s="595"/>
      <c r="R1856" s="484"/>
      <c r="S1856" s="595"/>
      <c r="T1856" s="595"/>
      <c r="U1856" s="595"/>
    </row>
    <row r="1857" spans="2:21" s="485" customFormat="1" ht="14.1" hidden="1" customHeight="1">
      <c r="B1857" s="951"/>
      <c r="C1857" s="607"/>
      <c r="D1857" s="607"/>
      <c r="E1857" s="710" t="s">
        <v>124</v>
      </c>
      <c r="F1857" s="710"/>
      <c r="G1857" s="605" t="s">
        <v>66</v>
      </c>
      <c r="H1857" s="742">
        <v>0.02</v>
      </c>
      <c r="I1857" s="491">
        <f>'UPH-TNG'!$I$16</f>
        <v>104000</v>
      </c>
      <c r="J1857" s="491">
        <f>ROUND(H1857*I1857,2)</f>
        <v>2080</v>
      </c>
      <c r="K1857" s="496"/>
      <c r="L1857" s="493">
        <v>1</v>
      </c>
      <c r="M1857" s="493" t="s">
        <v>422</v>
      </c>
      <c r="N1857" s="491">
        <f t="shared" si="122"/>
        <v>2080</v>
      </c>
      <c r="Q1857" s="595"/>
      <c r="R1857" s="484"/>
      <c r="S1857" s="595"/>
      <c r="T1857" s="595"/>
      <c r="U1857" s="595"/>
    </row>
    <row r="1858" spans="2:21" s="485" customFormat="1" ht="14.1" hidden="1" customHeight="1">
      <c r="B1858" s="951"/>
      <c r="C1858" s="607"/>
      <c r="D1858" s="607"/>
      <c r="E1858" s="710" t="s">
        <v>65</v>
      </c>
      <c r="F1858" s="710"/>
      <c r="G1858" s="605" t="s">
        <v>66</v>
      </c>
      <c r="H1858" s="742">
        <v>0.01</v>
      </c>
      <c r="I1858" s="491">
        <f>'UPH-TNG'!$I$20</f>
        <v>98000</v>
      </c>
      <c r="J1858" s="491">
        <f>ROUND(H1858*I1858,2)</f>
        <v>980</v>
      </c>
      <c r="K1858" s="607"/>
      <c r="L1858" s="493">
        <v>1</v>
      </c>
      <c r="M1858" s="493" t="s">
        <v>422</v>
      </c>
      <c r="N1858" s="491">
        <f t="shared" si="122"/>
        <v>980</v>
      </c>
      <c r="Q1858" s="595"/>
      <c r="R1858" s="484"/>
      <c r="S1858" s="595"/>
      <c r="T1858" s="595"/>
      <c r="U1858" s="595"/>
    </row>
    <row r="1859" spans="2:21" s="485" customFormat="1" ht="14.1" hidden="1" customHeight="1">
      <c r="B1859" s="951"/>
      <c r="C1859" s="600"/>
      <c r="D1859" s="602"/>
      <c r="E1859" s="612"/>
      <c r="F1859" s="613"/>
      <c r="G1859" s="610"/>
      <c r="H1859" s="744"/>
      <c r="I1859" s="504"/>
      <c r="J1859" s="495"/>
      <c r="K1859" s="494">
        <f>SUM(J1855:J1858)</f>
        <v>35860</v>
      </c>
      <c r="L1859" s="493"/>
      <c r="M1859" s="494"/>
      <c r="N1859" s="491">
        <f t="shared" si="122"/>
        <v>0</v>
      </c>
      <c r="Q1859" s="595"/>
      <c r="R1859" s="484"/>
      <c r="S1859" s="595"/>
      <c r="T1859" s="595"/>
      <c r="U1859" s="595"/>
    </row>
    <row r="1860" spans="2:21" s="485" customFormat="1" ht="14.1" hidden="1" customHeight="1">
      <c r="B1860" s="951"/>
      <c r="C1860" s="598" t="s">
        <v>215</v>
      </c>
      <c r="D1860" s="603" t="s">
        <v>212</v>
      </c>
      <c r="E1860" s="615"/>
      <c r="F1860" s="615"/>
      <c r="G1860" s="605"/>
      <c r="H1860" s="745"/>
      <c r="I1860" s="617"/>
      <c r="J1860" s="491"/>
      <c r="K1860" s="492"/>
      <c r="L1860" s="493"/>
      <c r="M1860" s="494"/>
      <c r="N1860" s="491">
        <f t="shared" si="122"/>
        <v>0</v>
      </c>
      <c r="Q1860" s="595"/>
      <c r="R1860" s="484"/>
      <c r="S1860" s="595"/>
      <c r="T1860" s="595"/>
      <c r="U1860" s="595"/>
    </row>
    <row r="1861" spans="2:21" s="485" customFormat="1" ht="14.1" hidden="1" customHeight="1">
      <c r="B1861" s="951"/>
      <c r="C1861" s="600"/>
      <c r="D1861" s="602"/>
      <c r="E1861" s="612"/>
      <c r="F1861" s="613"/>
      <c r="G1861" s="610"/>
      <c r="H1861" s="744"/>
      <c r="I1861" s="618"/>
      <c r="J1861" s="495"/>
      <c r="K1861" s="494">
        <f>SUM(J1860:J1860)</f>
        <v>0</v>
      </c>
      <c r="L1861" s="493"/>
      <c r="M1861" s="494"/>
      <c r="N1861" s="491">
        <f t="shared" si="122"/>
        <v>0</v>
      </c>
      <c r="Q1861" s="595"/>
      <c r="R1861" s="484"/>
      <c r="S1861" s="595"/>
      <c r="T1861" s="595"/>
      <c r="U1861" s="595"/>
    </row>
    <row r="1862" spans="2:21" s="485" customFormat="1" ht="14.1" hidden="1" customHeight="1">
      <c r="B1862" s="951"/>
      <c r="C1862" s="600" t="s">
        <v>216</v>
      </c>
      <c r="D1862" s="619" t="s">
        <v>219</v>
      </c>
      <c r="E1862" s="613"/>
      <c r="F1862" s="613"/>
      <c r="G1862" s="610"/>
      <c r="H1862" s="744"/>
      <c r="I1862" s="618"/>
      <c r="J1862" s="497" t="s">
        <v>220</v>
      </c>
      <c r="K1862" s="494">
        <f>K1854+K1859+K1861</f>
        <v>186260</v>
      </c>
      <c r="L1862" s="620">
        <f>N1862/K1862</f>
        <v>0.8281971437775153</v>
      </c>
      <c r="M1862" s="497"/>
      <c r="N1862" s="498">
        <f>SUM(N1851:N1861)</f>
        <v>154260</v>
      </c>
      <c r="Q1862" s="595"/>
      <c r="R1862" s="484"/>
      <c r="S1862" s="595"/>
      <c r="T1862" s="595"/>
      <c r="U1862" s="595"/>
    </row>
    <row r="1863" spans="2:21" s="485" customFormat="1" ht="14.1" hidden="1" customHeight="1">
      <c r="B1863" s="951"/>
      <c r="C1863" s="600" t="s">
        <v>217</v>
      </c>
      <c r="D1863" s="619" t="s">
        <v>221</v>
      </c>
      <c r="E1863" s="613"/>
      <c r="F1863" s="499">
        <f>$F$48</f>
        <v>0.1</v>
      </c>
      <c r="G1863" s="605" t="s">
        <v>168</v>
      </c>
      <c r="H1863" s="499">
        <f>$H$48</f>
        <v>0.02</v>
      </c>
      <c r="I1863" s="621" t="s">
        <v>167</v>
      </c>
      <c r="J1863" s="494" t="s">
        <v>216</v>
      </c>
      <c r="K1863" s="500">
        <f>ROUND((K1862*(F1863+H1863)),2)</f>
        <v>22351.200000000001</v>
      </c>
      <c r="L1863" s="494"/>
      <c r="M1863" s="494"/>
      <c r="N1863" s="494"/>
      <c r="Q1863" s="595"/>
      <c r="R1863" s="484"/>
      <c r="S1863" s="595"/>
      <c r="T1863" s="595"/>
      <c r="U1863" s="595"/>
    </row>
    <row r="1864" spans="2:21" s="485" customFormat="1" ht="14.1" hidden="1" customHeight="1">
      <c r="B1864" s="951"/>
      <c r="C1864" s="622" t="s">
        <v>222</v>
      </c>
      <c r="D1864" s="623" t="s">
        <v>76</v>
      </c>
      <c r="E1864" s="624"/>
      <c r="F1864" s="624"/>
      <c r="G1864" s="624"/>
      <c r="H1864" s="624"/>
      <c r="I1864" s="624"/>
      <c r="J1864" s="626" t="s">
        <v>226</v>
      </c>
      <c r="K1864" s="627">
        <f>SUM(K1862:K1863)</f>
        <v>208611.20000000001</v>
      </c>
      <c r="L1864" s="620"/>
      <c r="M1864" s="626"/>
      <c r="N1864" s="635"/>
      <c r="Q1864" s="595"/>
      <c r="R1864" s="484"/>
      <c r="S1864" s="595"/>
      <c r="T1864" s="595"/>
      <c r="U1864" s="595"/>
    </row>
    <row r="1865" spans="2:21" s="485" customFormat="1" ht="14.1" hidden="1" customHeight="1">
      <c r="B1865" s="948"/>
      <c r="Q1865" s="595"/>
      <c r="R1865" s="484"/>
      <c r="S1865" s="595"/>
      <c r="T1865" s="595"/>
      <c r="U1865" s="595"/>
    </row>
    <row r="1866" spans="2:21" s="485" customFormat="1" ht="14.1" hidden="1" customHeight="1">
      <c r="B1866" s="951">
        <f>B1847+1</f>
        <v>96</v>
      </c>
      <c r="C1866" s="488"/>
      <c r="D1866" s="709" t="s">
        <v>582</v>
      </c>
      <c r="K1866" s="591" t="s">
        <v>583</v>
      </c>
      <c r="L1866" s="591"/>
      <c r="M1866" s="591"/>
      <c r="N1866" s="591"/>
      <c r="O1866" s="485" t="str">
        <f>D1867</f>
        <v>m'</v>
      </c>
      <c r="P1866" s="636">
        <f>K1887</f>
        <v>205206.39999999999</v>
      </c>
      <c r="Q1866" s="593">
        <f>L1885</f>
        <v>0.99722254884837902</v>
      </c>
      <c r="R1866" s="484">
        <f>N1885</f>
        <v>182711.11540000001</v>
      </c>
      <c r="S1866" s="594"/>
      <c r="T1866" s="484"/>
      <c r="U1866" s="593"/>
    </row>
    <row r="1867" spans="2:21" s="485" customFormat="1" ht="14.1" hidden="1" customHeight="1">
      <c r="B1867" s="951"/>
      <c r="C1867" s="488"/>
      <c r="D1867" s="485" t="s">
        <v>32</v>
      </c>
      <c r="Q1867" s="595"/>
      <c r="R1867" s="484"/>
      <c r="S1867" s="595"/>
      <c r="T1867" s="595"/>
      <c r="U1867" s="595"/>
    </row>
    <row r="1868" spans="2:21" s="485" customFormat="1" ht="14.1" hidden="1" customHeight="1">
      <c r="B1868" s="951"/>
      <c r="C1868" s="596"/>
      <c r="D1868" s="977" t="s">
        <v>55</v>
      </c>
      <c r="E1868" s="978"/>
      <c r="F1868" s="597"/>
      <c r="G1868" s="981" t="s">
        <v>56</v>
      </c>
      <c r="H1868" s="981" t="s">
        <v>57</v>
      </c>
      <c r="I1868" s="596" t="s">
        <v>58</v>
      </c>
      <c r="J1868" s="596" t="s">
        <v>59</v>
      </c>
      <c r="K1868" s="596" t="s">
        <v>102</v>
      </c>
      <c r="L1868" s="596" t="s">
        <v>418</v>
      </c>
      <c r="M1868" s="596" t="s">
        <v>419</v>
      </c>
      <c r="N1868" s="596" t="s">
        <v>59</v>
      </c>
      <c r="Q1868" s="595"/>
      <c r="R1868" s="484"/>
      <c r="S1868" s="595"/>
      <c r="T1868" s="595"/>
      <c r="U1868" s="595"/>
    </row>
    <row r="1869" spans="2:21" s="485" customFormat="1" ht="14.1" hidden="1" customHeight="1">
      <c r="B1869" s="951"/>
      <c r="C1869" s="598" t="s">
        <v>227</v>
      </c>
      <c r="D1869" s="979"/>
      <c r="E1869" s="980"/>
      <c r="F1869" s="599"/>
      <c r="G1869" s="982"/>
      <c r="H1869" s="982"/>
      <c r="I1869" s="598" t="s">
        <v>60</v>
      </c>
      <c r="J1869" s="598" t="s">
        <v>61</v>
      </c>
      <c r="K1869" s="598" t="s">
        <v>61</v>
      </c>
      <c r="L1869" s="598" t="s">
        <v>421</v>
      </c>
      <c r="M1869" s="598"/>
      <c r="N1869" s="598" t="s">
        <v>423</v>
      </c>
      <c r="Q1869" s="595"/>
      <c r="R1869" s="484"/>
      <c r="S1869" s="595"/>
      <c r="T1869" s="595"/>
      <c r="U1869" s="595"/>
    </row>
    <row r="1870" spans="2:21" s="485" customFormat="1" ht="14.1" hidden="1" customHeight="1">
      <c r="B1870" s="951"/>
      <c r="C1870" s="600"/>
      <c r="D1870" s="969"/>
      <c r="E1870" s="970"/>
      <c r="F1870" s="601"/>
      <c r="G1870" s="973"/>
      <c r="H1870" s="973"/>
      <c r="I1870" s="600" t="s">
        <v>61</v>
      </c>
      <c r="J1870" s="602"/>
      <c r="K1870" s="602"/>
      <c r="L1870" s="602"/>
      <c r="M1870" s="602"/>
      <c r="N1870" s="600" t="s">
        <v>61</v>
      </c>
      <c r="Q1870" s="595"/>
      <c r="R1870" s="484"/>
      <c r="S1870" s="595"/>
      <c r="T1870" s="595"/>
      <c r="U1870" s="595"/>
    </row>
    <row r="1871" spans="2:21" s="485" customFormat="1" ht="14.1" hidden="1" customHeight="1">
      <c r="B1871" s="951"/>
      <c r="C1871" s="596" t="s">
        <v>213</v>
      </c>
      <c r="D1871" s="603" t="s">
        <v>62</v>
      </c>
      <c r="E1871" s="710" t="s">
        <v>579</v>
      </c>
      <c r="F1871" s="710"/>
      <c r="G1871" s="605" t="s">
        <v>45</v>
      </c>
      <c r="H1871" s="742">
        <v>20</v>
      </c>
      <c r="I1871" s="617">
        <f>'UPH-TNG'!$I$41</f>
        <v>800</v>
      </c>
      <c r="J1871" s="491">
        <f>ROUND(H1871*I1871,2)</f>
        <v>16000</v>
      </c>
      <c r="K1871" s="492"/>
      <c r="L1871" s="493">
        <v>1</v>
      </c>
      <c r="M1871" s="494"/>
      <c r="N1871" s="491">
        <f t="shared" ref="N1871:N1884" si="123">L1871*J1871</f>
        <v>16000</v>
      </c>
      <c r="Q1871" s="595"/>
      <c r="R1871" s="484"/>
      <c r="S1871" s="595"/>
      <c r="T1871" s="595"/>
      <c r="U1871" s="595"/>
    </row>
    <row r="1872" spans="2:21" s="485" customFormat="1" ht="14.1" hidden="1" customHeight="1">
      <c r="B1872" s="951"/>
      <c r="C1872" s="670"/>
      <c r="D1872" s="666"/>
      <c r="E1872" s="710" t="s">
        <v>75</v>
      </c>
      <c r="F1872" s="710"/>
      <c r="G1872" s="746" t="s">
        <v>73</v>
      </c>
      <c r="H1872" s="747">
        <v>3.92</v>
      </c>
      <c r="I1872" s="617">
        <f>'UPH-TNG'!$I$104</f>
        <v>1425</v>
      </c>
      <c r="J1872" s="491">
        <f>ROUND(H1872*I1872,2)</f>
        <v>5586</v>
      </c>
      <c r="K1872" s="496"/>
      <c r="L1872" s="493">
        <f>$L$163</f>
        <v>0.90890000000000004</v>
      </c>
      <c r="M1872" s="536" t="s">
        <v>429</v>
      </c>
      <c r="N1872" s="491">
        <f t="shared" si="123"/>
        <v>5077.1154000000006</v>
      </c>
      <c r="Q1872" s="595"/>
      <c r="R1872" s="484"/>
      <c r="S1872" s="595"/>
      <c r="T1872" s="595"/>
      <c r="U1872" s="595"/>
    </row>
    <row r="1873" spans="2:21" s="485" customFormat="1" ht="14.1" hidden="1" customHeight="1">
      <c r="B1873" s="951"/>
      <c r="C1873" s="670"/>
      <c r="D1873" s="666"/>
      <c r="E1873" s="710" t="s">
        <v>132</v>
      </c>
      <c r="F1873" s="710"/>
      <c r="G1873" s="746" t="s">
        <v>68</v>
      </c>
      <c r="H1873" s="747">
        <v>5.6000000000000001E-2</v>
      </c>
      <c r="I1873" s="617">
        <f>'UPH-TNG'!$I$107</f>
        <v>280000</v>
      </c>
      <c r="J1873" s="491">
        <f>ROUND(H1873*I1873,2)</f>
        <v>15680</v>
      </c>
      <c r="K1873" s="496"/>
      <c r="L1873" s="493">
        <v>1</v>
      </c>
      <c r="M1873" s="536"/>
      <c r="N1873" s="491">
        <f t="shared" si="123"/>
        <v>15680</v>
      </c>
      <c r="Q1873" s="595"/>
      <c r="R1873" s="484"/>
      <c r="S1873" s="595"/>
      <c r="T1873" s="595"/>
      <c r="U1873" s="595"/>
    </row>
    <row r="1874" spans="2:21" s="485" customFormat="1" ht="14.1" hidden="1" customHeight="1">
      <c r="B1874" s="951"/>
      <c r="C1874" s="670"/>
      <c r="D1874" s="666"/>
      <c r="E1874" s="710" t="s">
        <v>77</v>
      </c>
      <c r="F1874" s="710"/>
      <c r="G1874" s="746" t="s">
        <v>68</v>
      </c>
      <c r="H1874" s="747">
        <v>2.4E-2</v>
      </c>
      <c r="I1874" s="640">
        <f>'UPH-TNG'!$I$109</f>
        <v>171000</v>
      </c>
      <c r="J1874" s="491">
        <f>ROUND(H1874*I1874,2)</f>
        <v>4104</v>
      </c>
      <c r="K1874" s="492"/>
      <c r="L1874" s="493">
        <v>1</v>
      </c>
      <c r="M1874" s="536"/>
      <c r="N1874" s="491">
        <f t="shared" si="123"/>
        <v>4104</v>
      </c>
      <c r="Q1874" s="595"/>
      <c r="R1874" s="484"/>
      <c r="S1874" s="595"/>
      <c r="T1874" s="595"/>
      <c r="U1874" s="595"/>
    </row>
    <row r="1875" spans="2:21" s="485" customFormat="1" ht="14.1" hidden="1" customHeight="1">
      <c r="B1875" s="951"/>
      <c r="C1875" s="670"/>
      <c r="D1875" s="666"/>
      <c r="E1875" s="710" t="s">
        <v>580</v>
      </c>
      <c r="F1875" s="710"/>
      <c r="G1875" s="746" t="s">
        <v>45</v>
      </c>
      <c r="H1875" s="747">
        <v>1</v>
      </c>
      <c r="I1875" s="537">
        <f>'UPH-TNG'!I50</f>
        <v>35000</v>
      </c>
      <c r="J1875" s="491">
        <f>ROUND(H1875*I1875,2)</f>
        <v>35000</v>
      </c>
      <c r="K1875" s="515"/>
      <c r="L1875" s="493">
        <v>1</v>
      </c>
      <c r="M1875" s="536"/>
      <c r="N1875" s="491">
        <f t="shared" ref="N1875" si="124">L1875*J1875</f>
        <v>35000</v>
      </c>
      <c r="Q1875" s="595"/>
      <c r="R1875" s="484"/>
      <c r="S1875" s="595"/>
      <c r="T1875" s="595"/>
      <c r="U1875" s="595"/>
    </row>
    <row r="1876" spans="2:21" s="485" customFormat="1" ht="14.1" hidden="1" customHeight="1">
      <c r="B1876" s="951"/>
      <c r="C1876" s="607"/>
      <c r="D1876" s="607"/>
      <c r="E1876" s="710"/>
      <c r="F1876" s="710"/>
      <c r="G1876" s="605"/>
      <c r="H1876" s="742"/>
      <c r="I1876" s="491"/>
      <c r="J1876" s="491"/>
      <c r="K1876" s="511"/>
      <c r="L1876" s="493"/>
      <c r="M1876" s="494"/>
      <c r="N1876" s="491"/>
      <c r="Q1876" s="595"/>
      <c r="R1876" s="484"/>
      <c r="S1876" s="595"/>
      <c r="T1876" s="595"/>
      <c r="U1876" s="595"/>
    </row>
    <row r="1877" spans="2:21" s="485" customFormat="1" ht="14.1" hidden="1" customHeight="1">
      <c r="B1877" s="951"/>
      <c r="C1877" s="598"/>
      <c r="D1877" s="607"/>
      <c r="E1877" s="712"/>
      <c r="F1877" s="713"/>
      <c r="G1877" s="610"/>
      <c r="H1877" s="743"/>
      <c r="I1877" s="504"/>
      <c r="J1877" s="495"/>
      <c r="K1877" s="491">
        <f>SUM(J1871:J1876)</f>
        <v>76370</v>
      </c>
      <c r="L1877" s="493"/>
      <c r="M1877" s="494"/>
      <c r="N1877" s="491">
        <f t="shared" si="123"/>
        <v>0</v>
      </c>
      <c r="Q1877" s="595"/>
      <c r="R1877" s="484"/>
      <c r="S1877" s="595"/>
      <c r="T1877" s="595"/>
      <c r="U1877" s="595"/>
    </row>
    <row r="1878" spans="2:21" s="485" customFormat="1" ht="14.1" hidden="1" customHeight="1">
      <c r="B1878" s="951"/>
      <c r="C1878" s="596" t="s">
        <v>214</v>
      </c>
      <c r="D1878" s="603" t="s">
        <v>63</v>
      </c>
      <c r="E1878" s="710" t="s">
        <v>64</v>
      </c>
      <c r="F1878" s="710"/>
      <c r="G1878" s="605" t="s">
        <v>66</v>
      </c>
      <c r="H1878" s="742">
        <v>1</v>
      </c>
      <c r="I1878" s="491">
        <f>'UPH-TNG'!$I$15</f>
        <v>92000</v>
      </c>
      <c r="J1878" s="491">
        <f>ROUND(H1878*I1878,2)</f>
        <v>92000</v>
      </c>
      <c r="K1878" s="492"/>
      <c r="L1878" s="493">
        <v>1</v>
      </c>
      <c r="M1878" s="493" t="s">
        <v>422</v>
      </c>
      <c r="N1878" s="491">
        <f t="shared" si="123"/>
        <v>92000</v>
      </c>
      <c r="Q1878" s="595"/>
      <c r="R1878" s="484"/>
      <c r="S1878" s="595"/>
      <c r="T1878" s="595"/>
      <c r="U1878" s="595"/>
    </row>
    <row r="1879" spans="2:21" s="485" customFormat="1" ht="14.1" hidden="1" customHeight="1">
      <c r="B1879" s="951"/>
      <c r="C1879" s="607"/>
      <c r="D1879" s="607"/>
      <c r="E1879" s="710" t="s">
        <v>125</v>
      </c>
      <c r="F1879" s="710"/>
      <c r="G1879" s="605" t="s">
        <v>66</v>
      </c>
      <c r="H1879" s="742">
        <v>0.05</v>
      </c>
      <c r="I1879" s="491">
        <f>'UPH-TNG'!$I$21</f>
        <v>95000</v>
      </c>
      <c r="J1879" s="491">
        <f>ROUND(H1879*I1879,2)</f>
        <v>4750</v>
      </c>
      <c r="K1879" s="496"/>
      <c r="L1879" s="493">
        <v>1</v>
      </c>
      <c r="M1879" s="493" t="s">
        <v>422</v>
      </c>
      <c r="N1879" s="491">
        <f t="shared" si="123"/>
        <v>4750</v>
      </c>
      <c r="Q1879" s="595"/>
      <c r="R1879" s="484"/>
      <c r="S1879" s="595"/>
      <c r="T1879" s="595"/>
      <c r="U1879" s="595"/>
    </row>
    <row r="1880" spans="2:21" s="485" customFormat="1" ht="14.1" hidden="1" customHeight="1">
      <c r="B1880" s="951"/>
      <c r="C1880" s="607"/>
      <c r="D1880" s="607"/>
      <c r="E1880" s="710" t="s">
        <v>124</v>
      </c>
      <c r="F1880" s="710"/>
      <c r="G1880" s="605" t="s">
        <v>66</v>
      </c>
      <c r="H1880" s="742">
        <v>0.05</v>
      </c>
      <c r="I1880" s="491">
        <f>'UPH-TNG'!$I$16</f>
        <v>104000</v>
      </c>
      <c r="J1880" s="491">
        <f>ROUND(H1880*I1880,2)</f>
        <v>5200</v>
      </c>
      <c r="K1880" s="496"/>
      <c r="L1880" s="493">
        <v>1</v>
      </c>
      <c r="M1880" s="493" t="s">
        <v>422</v>
      </c>
      <c r="N1880" s="491">
        <f t="shared" si="123"/>
        <v>5200</v>
      </c>
      <c r="Q1880" s="595"/>
      <c r="R1880" s="484"/>
      <c r="S1880" s="595"/>
      <c r="T1880" s="595"/>
      <c r="U1880" s="595"/>
    </row>
    <row r="1881" spans="2:21" s="485" customFormat="1" ht="14.1" hidden="1" customHeight="1">
      <c r="B1881" s="951"/>
      <c r="C1881" s="607"/>
      <c r="D1881" s="607"/>
      <c r="E1881" s="710" t="s">
        <v>65</v>
      </c>
      <c r="F1881" s="710"/>
      <c r="G1881" s="605" t="s">
        <v>66</v>
      </c>
      <c r="H1881" s="742">
        <v>0.05</v>
      </c>
      <c r="I1881" s="491">
        <f>'UPH-TNG'!$I$20</f>
        <v>98000</v>
      </c>
      <c r="J1881" s="491">
        <f>ROUND(H1881*I1881,2)</f>
        <v>4900</v>
      </c>
      <c r="K1881" s="607"/>
      <c r="L1881" s="493">
        <v>1</v>
      </c>
      <c r="M1881" s="493" t="s">
        <v>422</v>
      </c>
      <c r="N1881" s="491">
        <f t="shared" si="123"/>
        <v>4900</v>
      </c>
      <c r="Q1881" s="595"/>
      <c r="R1881" s="484"/>
      <c r="S1881" s="595"/>
      <c r="T1881" s="595"/>
      <c r="U1881" s="595"/>
    </row>
    <row r="1882" spans="2:21" s="485" customFormat="1" ht="14.1" hidden="1" customHeight="1">
      <c r="B1882" s="951"/>
      <c r="C1882" s="600"/>
      <c r="D1882" s="602"/>
      <c r="E1882" s="612"/>
      <c r="F1882" s="613"/>
      <c r="G1882" s="610"/>
      <c r="H1882" s="744"/>
      <c r="I1882" s="504"/>
      <c r="J1882" s="495"/>
      <c r="K1882" s="494">
        <f>SUM(J1878:J1881)</f>
        <v>106850</v>
      </c>
      <c r="L1882" s="493"/>
      <c r="M1882" s="494"/>
      <c r="N1882" s="491">
        <f t="shared" si="123"/>
        <v>0</v>
      </c>
      <c r="Q1882" s="595"/>
      <c r="R1882" s="484"/>
      <c r="S1882" s="595"/>
      <c r="T1882" s="595"/>
      <c r="U1882" s="595"/>
    </row>
    <row r="1883" spans="2:21" s="485" customFormat="1" ht="14.1" hidden="1" customHeight="1">
      <c r="B1883" s="951"/>
      <c r="C1883" s="598" t="s">
        <v>215</v>
      </c>
      <c r="D1883" s="603" t="s">
        <v>212</v>
      </c>
      <c r="E1883" s="615"/>
      <c r="F1883" s="615"/>
      <c r="G1883" s="605"/>
      <c r="H1883" s="745"/>
      <c r="I1883" s="617"/>
      <c r="J1883" s="491"/>
      <c r="K1883" s="492"/>
      <c r="L1883" s="493"/>
      <c r="M1883" s="494"/>
      <c r="N1883" s="491">
        <f t="shared" si="123"/>
        <v>0</v>
      </c>
      <c r="Q1883" s="595"/>
      <c r="R1883" s="484"/>
      <c r="S1883" s="595"/>
      <c r="T1883" s="595"/>
      <c r="U1883" s="595"/>
    </row>
    <row r="1884" spans="2:21" s="485" customFormat="1" ht="14.1" hidden="1" customHeight="1">
      <c r="B1884" s="951"/>
      <c r="C1884" s="600"/>
      <c r="D1884" s="602"/>
      <c r="E1884" s="612"/>
      <c r="F1884" s="613"/>
      <c r="G1884" s="610"/>
      <c r="H1884" s="744"/>
      <c r="I1884" s="618"/>
      <c r="J1884" s="495"/>
      <c r="K1884" s="494">
        <f>SUM(J1883:J1883)</f>
        <v>0</v>
      </c>
      <c r="L1884" s="493"/>
      <c r="M1884" s="494"/>
      <c r="N1884" s="491">
        <f t="shared" si="123"/>
        <v>0</v>
      </c>
      <c r="Q1884" s="595"/>
      <c r="R1884" s="484"/>
      <c r="S1884" s="595"/>
      <c r="T1884" s="595"/>
      <c r="U1884" s="595"/>
    </row>
    <row r="1885" spans="2:21" s="485" customFormat="1" ht="14.1" hidden="1" customHeight="1">
      <c r="B1885" s="951"/>
      <c r="C1885" s="600" t="s">
        <v>216</v>
      </c>
      <c r="D1885" s="619" t="s">
        <v>219</v>
      </c>
      <c r="E1885" s="613"/>
      <c r="F1885" s="613"/>
      <c r="G1885" s="610"/>
      <c r="H1885" s="744"/>
      <c r="I1885" s="618"/>
      <c r="J1885" s="497" t="s">
        <v>220</v>
      </c>
      <c r="K1885" s="494">
        <f>K1877+K1882+K1884</f>
        <v>183220</v>
      </c>
      <c r="L1885" s="620">
        <f>N1885/K1885</f>
        <v>0.99722254884837902</v>
      </c>
      <c r="M1885" s="497"/>
      <c r="N1885" s="498">
        <f>SUM(N1870:N1884)</f>
        <v>182711.11540000001</v>
      </c>
      <c r="Q1885" s="595"/>
      <c r="R1885" s="484"/>
      <c r="S1885" s="595"/>
      <c r="T1885" s="595"/>
      <c r="U1885" s="595"/>
    </row>
    <row r="1886" spans="2:21" s="485" customFormat="1" ht="14.1" hidden="1" customHeight="1">
      <c r="B1886" s="951"/>
      <c r="C1886" s="600" t="s">
        <v>217</v>
      </c>
      <c r="D1886" s="619" t="s">
        <v>221</v>
      </c>
      <c r="E1886" s="613"/>
      <c r="F1886" s="499">
        <f>$F$48</f>
        <v>0.1</v>
      </c>
      <c r="G1886" s="605" t="s">
        <v>168</v>
      </c>
      <c r="H1886" s="499">
        <f>$H$48</f>
        <v>0.02</v>
      </c>
      <c r="I1886" s="621" t="s">
        <v>167</v>
      </c>
      <c r="J1886" s="494" t="s">
        <v>216</v>
      </c>
      <c r="K1886" s="500">
        <f>ROUND((K1885*(F1886+H1886)),2)</f>
        <v>21986.400000000001</v>
      </c>
      <c r="L1886" s="494"/>
      <c r="M1886" s="494"/>
      <c r="N1886" s="494"/>
      <c r="Q1886" s="595"/>
      <c r="R1886" s="484"/>
      <c r="S1886" s="595"/>
      <c r="T1886" s="595"/>
      <c r="U1886" s="595"/>
    </row>
    <row r="1887" spans="2:21" s="485" customFormat="1" ht="14.1" hidden="1" customHeight="1">
      <c r="B1887" s="951"/>
      <c r="C1887" s="622" t="s">
        <v>222</v>
      </c>
      <c r="D1887" s="623" t="s">
        <v>76</v>
      </c>
      <c r="E1887" s="624"/>
      <c r="F1887" s="624"/>
      <c r="G1887" s="624"/>
      <c r="H1887" s="624"/>
      <c r="I1887" s="624"/>
      <c r="J1887" s="626" t="s">
        <v>226</v>
      </c>
      <c r="K1887" s="627">
        <f>SUM(K1885:K1886)</f>
        <v>205206.39999999999</v>
      </c>
      <c r="L1887" s="620"/>
      <c r="M1887" s="626"/>
      <c r="N1887" s="635"/>
      <c r="Q1887" s="595"/>
      <c r="R1887" s="484"/>
      <c r="S1887" s="595"/>
      <c r="T1887" s="595"/>
      <c r="U1887" s="595"/>
    </row>
    <row r="1888" spans="2:21" s="485" customFormat="1" ht="14.1" hidden="1" customHeight="1">
      <c r="B1888" s="948"/>
      <c r="Q1888" s="595"/>
      <c r="R1888" s="484"/>
      <c r="S1888" s="595"/>
      <c r="T1888" s="595"/>
      <c r="U1888" s="595"/>
    </row>
    <row r="1889" spans="2:21" s="485" customFormat="1" ht="14.1" hidden="1" customHeight="1">
      <c r="B1889" s="948"/>
      <c r="Q1889" s="595"/>
      <c r="R1889" s="484"/>
      <c r="S1889" s="595"/>
      <c r="T1889" s="595"/>
      <c r="U1889" s="595"/>
    </row>
    <row r="1890" spans="2:21" s="485" customFormat="1" ht="14.1" customHeight="1">
      <c r="B1890" s="951">
        <f>B1866+1</f>
        <v>97</v>
      </c>
      <c r="C1890" s="488"/>
      <c r="D1890" s="485" t="s">
        <v>526</v>
      </c>
      <c r="H1890" s="650"/>
      <c r="K1890" s="591" t="s">
        <v>527</v>
      </c>
      <c r="O1890" s="485" t="str">
        <f>D1891</f>
        <v>m2</v>
      </c>
      <c r="P1890" s="636">
        <f>K1909</f>
        <v>464895.2</v>
      </c>
      <c r="Q1890" s="593">
        <f>L1907</f>
        <v>0.99655975884457404</v>
      </c>
      <c r="R1890" s="484">
        <f>N1907</f>
        <v>413657.00750000001</v>
      </c>
      <c r="S1890" s="595"/>
      <c r="T1890" s="595"/>
      <c r="U1890" s="595"/>
    </row>
    <row r="1891" spans="2:21" s="485" customFormat="1" ht="14.1" customHeight="1">
      <c r="B1891" s="951"/>
      <c r="C1891" s="488"/>
      <c r="D1891" s="485" t="s">
        <v>100</v>
      </c>
      <c r="H1891" s="650"/>
      <c r="Q1891" s="595"/>
      <c r="R1891" s="484"/>
      <c r="S1891" s="595"/>
      <c r="T1891" s="595"/>
      <c r="U1891" s="595"/>
    </row>
    <row r="1892" spans="2:21" s="485" customFormat="1" ht="14.1" customHeight="1">
      <c r="B1892" s="951"/>
      <c r="C1892" s="488"/>
      <c r="H1892" s="650"/>
      <c r="Q1892" s="595"/>
      <c r="R1892" s="484"/>
      <c r="S1892" s="595"/>
      <c r="T1892" s="595"/>
      <c r="U1892" s="595"/>
    </row>
    <row r="1893" spans="2:21" s="485" customFormat="1" ht="14.1" customHeight="1">
      <c r="B1893" s="951"/>
      <c r="C1893" s="748"/>
      <c r="D1893" s="989" t="s">
        <v>55</v>
      </c>
      <c r="E1893" s="990"/>
      <c r="F1893" s="749"/>
      <c r="G1893" s="992" t="s">
        <v>56</v>
      </c>
      <c r="H1893" s="994" t="s">
        <v>57</v>
      </c>
      <c r="I1893" s="748" t="s">
        <v>58</v>
      </c>
      <c r="J1893" s="748" t="s">
        <v>59</v>
      </c>
      <c r="K1893" s="748" t="s">
        <v>102</v>
      </c>
      <c r="L1893" s="596" t="s">
        <v>418</v>
      </c>
      <c r="M1893" s="596" t="s">
        <v>419</v>
      </c>
      <c r="N1893" s="596" t="s">
        <v>59</v>
      </c>
      <c r="Q1893" s="595"/>
      <c r="R1893" s="484"/>
      <c r="S1893" s="595"/>
      <c r="T1893" s="595"/>
      <c r="U1893" s="595"/>
    </row>
    <row r="1894" spans="2:21" s="485" customFormat="1" ht="14.1" customHeight="1">
      <c r="B1894" s="951"/>
      <c r="C1894" s="670" t="s">
        <v>227</v>
      </c>
      <c r="D1894" s="991"/>
      <c r="E1894" s="968"/>
      <c r="F1894" s="654"/>
      <c r="G1894" s="993"/>
      <c r="H1894" s="995"/>
      <c r="I1894" s="670" t="s">
        <v>60</v>
      </c>
      <c r="J1894" s="670" t="s">
        <v>61</v>
      </c>
      <c r="K1894" s="670" t="s">
        <v>61</v>
      </c>
      <c r="L1894" s="598" t="s">
        <v>421</v>
      </c>
      <c r="M1894" s="598"/>
      <c r="N1894" s="598" t="s">
        <v>423</v>
      </c>
      <c r="Q1894" s="595"/>
      <c r="R1894" s="484"/>
      <c r="S1894" s="595"/>
      <c r="T1894" s="595"/>
      <c r="U1894" s="595"/>
    </row>
    <row r="1895" spans="2:21" s="485" customFormat="1" ht="14.1" customHeight="1">
      <c r="B1895" s="951"/>
      <c r="C1895" s="600"/>
      <c r="D1895" s="969"/>
      <c r="E1895" s="970"/>
      <c r="F1895" s="601"/>
      <c r="G1895" s="973"/>
      <c r="H1895" s="988"/>
      <c r="I1895" s="600" t="s">
        <v>61</v>
      </c>
      <c r="J1895" s="602"/>
      <c r="K1895" s="602"/>
      <c r="L1895" s="602"/>
      <c r="M1895" s="602"/>
      <c r="N1895" s="600" t="s">
        <v>61</v>
      </c>
      <c r="Q1895" s="595"/>
      <c r="R1895" s="484"/>
      <c r="S1895" s="595"/>
      <c r="T1895" s="595"/>
      <c r="U1895" s="595"/>
    </row>
    <row r="1896" spans="2:21" s="485" customFormat="1" ht="14.1" customHeight="1">
      <c r="B1896" s="951"/>
      <c r="C1896" s="748" t="s">
        <v>213</v>
      </c>
      <c r="D1896" s="750" t="s">
        <v>62</v>
      </c>
      <c r="E1896" s="751" t="s">
        <v>528</v>
      </c>
      <c r="F1896" s="751"/>
      <c r="G1896" s="746" t="s">
        <v>91</v>
      </c>
      <c r="H1896" s="752">
        <v>25</v>
      </c>
      <c r="I1896" s="541">
        <v>14000</v>
      </c>
      <c r="J1896" s="537">
        <f>ROUND(H1896*I1896,2)</f>
        <v>350000</v>
      </c>
      <c r="K1896" s="542"/>
      <c r="L1896" s="538">
        <v>1</v>
      </c>
      <c r="M1896" s="536"/>
      <c r="N1896" s="537">
        <f t="shared" ref="N1896:N1897" si="125">L1896*J1896</f>
        <v>350000</v>
      </c>
      <c r="Q1896" s="595"/>
      <c r="R1896" s="484"/>
      <c r="S1896" s="595"/>
      <c r="T1896" s="595"/>
      <c r="U1896" s="595"/>
    </row>
    <row r="1897" spans="2:21" s="485" customFormat="1" ht="14.1" customHeight="1">
      <c r="B1897" s="951"/>
      <c r="C1897" s="670"/>
      <c r="D1897" s="666"/>
      <c r="E1897" s="751" t="s">
        <v>75</v>
      </c>
      <c r="F1897" s="751"/>
      <c r="G1897" s="746" t="s">
        <v>73</v>
      </c>
      <c r="H1897" s="752">
        <v>11</v>
      </c>
      <c r="I1897" s="632">
        <f>'UPH-TNG'!$I$104</f>
        <v>1425</v>
      </c>
      <c r="J1897" s="537">
        <f>ROUND(H1897*I1897,2)</f>
        <v>15675</v>
      </c>
      <c r="K1897" s="515"/>
      <c r="L1897" s="539">
        <v>0.90890000000000004</v>
      </c>
      <c r="M1897" s="536" t="s">
        <v>429</v>
      </c>
      <c r="N1897" s="537">
        <f t="shared" si="125"/>
        <v>14247.007500000002</v>
      </c>
      <c r="Q1897" s="595"/>
      <c r="R1897" s="484"/>
      <c r="S1897" s="595"/>
      <c r="T1897" s="595"/>
      <c r="U1897" s="595"/>
    </row>
    <row r="1898" spans="2:21" s="485" customFormat="1" ht="14.1" customHeight="1">
      <c r="B1898" s="951"/>
      <c r="C1898" s="670"/>
      <c r="D1898" s="666"/>
      <c r="E1898" s="751" t="s">
        <v>97</v>
      </c>
      <c r="F1898" s="751"/>
      <c r="G1898" s="746" t="s">
        <v>68</v>
      </c>
      <c r="H1898" s="752">
        <v>3.5000000000000003E-2</v>
      </c>
      <c r="I1898" s="491">
        <f>'UPH-TNG'!$I$107</f>
        <v>280000</v>
      </c>
      <c r="J1898" s="537">
        <f>ROUND(H1898*I1898,2)</f>
        <v>9800</v>
      </c>
      <c r="K1898" s="515"/>
      <c r="L1898" s="538">
        <v>1</v>
      </c>
      <c r="M1898" s="536"/>
      <c r="N1898" s="537">
        <f t="shared" ref="N1898" si="126">L1898*J1898</f>
        <v>9800</v>
      </c>
      <c r="Q1898" s="595"/>
      <c r="R1898" s="484"/>
      <c r="S1898" s="595"/>
      <c r="T1898" s="595"/>
      <c r="U1898" s="595"/>
    </row>
    <row r="1899" spans="2:21" s="485" customFormat="1" ht="14.1" customHeight="1">
      <c r="B1899" s="951"/>
      <c r="C1899" s="600"/>
      <c r="D1899" s="666"/>
      <c r="E1899" s="753"/>
      <c r="F1899" s="754"/>
      <c r="G1899" s="740"/>
      <c r="H1899" s="755"/>
      <c r="I1899" s="543"/>
      <c r="J1899" s="544"/>
      <c r="K1899" s="537">
        <f>SUM(J1896:J1898)</f>
        <v>375475</v>
      </c>
      <c r="L1899" s="751"/>
      <c r="M1899" s="751"/>
      <c r="N1899" s="751"/>
      <c r="Q1899" s="595"/>
      <c r="R1899" s="484"/>
      <c r="S1899" s="595"/>
      <c r="T1899" s="595"/>
      <c r="U1899" s="595"/>
    </row>
    <row r="1900" spans="2:21" s="485" customFormat="1" ht="14.1" customHeight="1">
      <c r="B1900" s="951"/>
      <c r="C1900" s="670" t="s">
        <v>214</v>
      </c>
      <c r="D1900" s="750" t="s">
        <v>63</v>
      </c>
      <c r="E1900" s="751" t="s">
        <v>69</v>
      </c>
      <c r="F1900" s="751"/>
      <c r="G1900" s="746" t="s">
        <v>66</v>
      </c>
      <c r="H1900" s="752">
        <v>0.3</v>
      </c>
      <c r="I1900" s="491">
        <f>'UPH-TNG'!$I$15</f>
        <v>92000</v>
      </c>
      <c r="J1900" s="537">
        <f>ROUND(H1900*I1900,2)</f>
        <v>27600</v>
      </c>
      <c r="K1900" s="542"/>
      <c r="L1900" s="538">
        <v>1</v>
      </c>
      <c r="M1900" s="538" t="s">
        <v>422</v>
      </c>
      <c r="N1900" s="537">
        <f t="shared" ref="N1900:N1903" si="127">L1900*J1900</f>
        <v>27600</v>
      </c>
      <c r="Q1900" s="595"/>
      <c r="R1900" s="484"/>
      <c r="S1900" s="595"/>
      <c r="T1900" s="595"/>
      <c r="U1900" s="595"/>
    </row>
    <row r="1901" spans="2:21" s="485" customFormat="1" ht="14.1" customHeight="1">
      <c r="B1901" s="951"/>
      <c r="C1901" s="666"/>
      <c r="D1901" s="666"/>
      <c r="E1901" s="751" t="s">
        <v>70</v>
      </c>
      <c r="F1901" s="751"/>
      <c r="G1901" s="746" t="s">
        <v>66</v>
      </c>
      <c r="H1901" s="752">
        <v>0.1</v>
      </c>
      <c r="I1901" s="491">
        <f>'UPH-TNG'!$I$21</f>
        <v>95000</v>
      </c>
      <c r="J1901" s="537">
        <f>ROUND(H1901*I1901,2)</f>
        <v>9500</v>
      </c>
      <c r="K1901" s="515"/>
      <c r="L1901" s="538">
        <v>1</v>
      </c>
      <c r="M1901" s="538" t="s">
        <v>422</v>
      </c>
      <c r="N1901" s="537">
        <f t="shared" si="127"/>
        <v>9500</v>
      </c>
      <c r="Q1901" s="595"/>
      <c r="R1901" s="484"/>
      <c r="S1901" s="595"/>
      <c r="T1901" s="595"/>
      <c r="U1901" s="595"/>
    </row>
    <row r="1902" spans="2:21" s="485" customFormat="1" ht="14.1" customHeight="1">
      <c r="B1902" s="951"/>
      <c r="C1902" s="670"/>
      <c r="D1902" s="666"/>
      <c r="E1902" s="751" t="s">
        <v>71</v>
      </c>
      <c r="F1902" s="751"/>
      <c r="G1902" s="746" t="s">
        <v>66</v>
      </c>
      <c r="H1902" s="752">
        <v>0.01</v>
      </c>
      <c r="I1902" s="491">
        <f>'UPH-TNG'!$I$16</f>
        <v>104000</v>
      </c>
      <c r="J1902" s="537">
        <f>ROUND(H1902*I1902,2)</f>
        <v>1040</v>
      </c>
      <c r="K1902" s="515"/>
      <c r="L1902" s="538">
        <v>1</v>
      </c>
      <c r="M1902" s="538" t="s">
        <v>422</v>
      </c>
      <c r="N1902" s="537">
        <f t="shared" si="127"/>
        <v>1040</v>
      </c>
      <c r="Q1902" s="595"/>
      <c r="R1902" s="484"/>
      <c r="S1902" s="595"/>
      <c r="T1902" s="595"/>
      <c r="U1902" s="595"/>
    </row>
    <row r="1903" spans="2:21" s="485" customFormat="1" ht="14.1" customHeight="1">
      <c r="B1903" s="951"/>
      <c r="C1903" s="670"/>
      <c r="D1903" s="666"/>
      <c r="E1903" s="751" t="s">
        <v>65</v>
      </c>
      <c r="F1903" s="751"/>
      <c r="G1903" s="746" t="s">
        <v>66</v>
      </c>
      <c r="H1903" s="752">
        <v>1.4999999999999999E-2</v>
      </c>
      <c r="I1903" s="491">
        <f>'UPH-TNG'!$I$20</f>
        <v>98000</v>
      </c>
      <c r="J1903" s="537">
        <f>ROUND(H1903*I1903,2)</f>
        <v>1470</v>
      </c>
      <c r="K1903" s="666"/>
      <c r="L1903" s="538">
        <v>1</v>
      </c>
      <c r="M1903" s="538" t="s">
        <v>422</v>
      </c>
      <c r="N1903" s="537">
        <f t="shared" si="127"/>
        <v>1470</v>
      </c>
      <c r="Q1903" s="595"/>
      <c r="R1903" s="484"/>
      <c r="S1903" s="595"/>
      <c r="T1903" s="595"/>
      <c r="U1903" s="595"/>
    </row>
    <row r="1904" spans="2:21" s="485" customFormat="1" ht="14.1" customHeight="1">
      <c r="B1904" s="951"/>
      <c r="C1904" s="602"/>
      <c r="D1904" s="602"/>
      <c r="E1904" s="753"/>
      <c r="F1904" s="754"/>
      <c r="G1904" s="740"/>
      <c r="H1904" s="755"/>
      <c r="I1904" s="543"/>
      <c r="J1904" s="544"/>
      <c r="K1904" s="536">
        <f>SUM(J1900:J1903)</f>
        <v>39610</v>
      </c>
      <c r="L1904" s="751"/>
      <c r="M1904" s="751"/>
      <c r="N1904" s="751"/>
      <c r="Q1904" s="595"/>
      <c r="R1904" s="484"/>
      <c r="S1904" s="595"/>
      <c r="T1904" s="595"/>
      <c r="U1904" s="595"/>
    </row>
    <row r="1905" spans="2:21" s="485" customFormat="1" ht="14.1" customHeight="1">
      <c r="B1905" s="951"/>
      <c r="C1905" s="670" t="s">
        <v>215</v>
      </c>
      <c r="D1905" s="750" t="s">
        <v>212</v>
      </c>
      <c r="E1905" s="751"/>
      <c r="F1905" s="751"/>
      <c r="G1905" s="746"/>
      <c r="H1905" s="752"/>
      <c r="I1905" s="756"/>
      <c r="J1905" s="537"/>
      <c r="K1905" s="542"/>
      <c r="L1905" s="751"/>
      <c r="M1905" s="751"/>
      <c r="N1905" s="751"/>
      <c r="Q1905" s="595"/>
      <c r="R1905" s="484"/>
      <c r="S1905" s="595"/>
      <c r="T1905" s="595"/>
      <c r="U1905" s="595"/>
    </row>
    <row r="1906" spans="2:21" s="485" customFormat="1" ht="14.1" customHeight="1">
      <c r="B1906" s="951"/>
      <c r="C1906" s="602"/>
      <c r="D1906" s="602"/>
      <c r="E1906" s="753"/>
      <c r="F1906" s="754"/>
      <c r="G1906" s="740"/>
      <c r="H1906" s="755"/>
      <c r="I1906" s="757"/>
      <c r="J1906" s="544"/>
      <c r="K1906" s="536">
        <f>SUM(J1905:J1905)</f>
        <v>0</v>
      </c>
      <c r="L1906" s="751"/>
      <c r="M1906" s="751"/>
      <c r="N1906" s="751"/>
      <c r="Q1906" s="595"/>
      <c r="R1906" s="484"/>
      <c r="S1906" s="595"/>
      <c r="T1906" s="595"/>
      <c r="U1906" s="595"/>
    </row>
    <row r="1907" spans="2:21" s="485" customFormat="1" ht="14.1" customHeight="1">
      <c r="B1907" s="951"/>
      <c r="C1907" s="600" t="s">
        <v>216</v>
      </c>
      <c r="D1907" s="619" t="s">
        <v>219</v>
      </c>
      <c r="E1907" s="754"/>
      <c r="F1907" s="754"/>
      <c r="G1907" s="740"/>
      <c r="H1907" s="755"/>
      <c r="I1907" s="757"/>
      <c r="J1907" s="545" t="s">
        <v>220</v>
      </c>
      <c r="K1907" s="536">
        <f>K1899+K1904+K1906</f>
        <v>415085</v>
      </c>
      <c r="L1907" s="620">
        <f>N1907/K1907</f>
        <v>0.99655975884457404</v>
      </c>
      <c r="M1907" s="751"/>
      <c r="N1907" s="758">
        <f>SUM(N1896:N1906)</f>
        <v>413657.00750000001</v>
      </c>
      <c r="Q1907" s="595"/>
      <c r="R1907" s="484"/>
      <c r="S1907" s="595"/>
      <c r="T1907" s="595"/>
      <c r="U1907" s="595"/>
    </row>
    <row r="1908" spans="2:21" s="485" customFormat="1" ht="14.1" customHeight="1">
      <c r="B1908" s="951"/>
      <c r="C1908" s="600" t="s">
        <v>217</v>
      </c>
      <c r="D1908" s="619" t="s">
        <v>529</v>
      </c>
      <c r="E1908" s="754"/>
      <c r="F1908" s="546">
        <v>0.1</v>
      </c>
      <c r="G1908" s="746" t="s">
        <v>168</v>
      </c>
      <c r="H1908" s="546">
        <v>0.02</v>
      </c>
      <c r="I1908" s="759" t="s">
        <v>167</v>
      </c>
      <c r="J1908" s="536" t="s">
        <v>216</v>
      </c>
      <c r="K1908" s="547">
        <f>ROUND((K1907*(F1908+H1908)),2)</f>
        <v>49810.2</v>
      </c>
      <c r="L1908" s="751"/>
      <c r="M1908" s="751"/>
      <c r="N1908" s="751"/>
      <c r="Q1908" s="595"/>
      <c r="R1908" s="484"/>
      <c r="S1908" s="595"/>
      <c r="T1908" s="595"/>
      <c r="U1908" s="595"/>
    </row>
    <row r="1909" spans="2:21" s="485" customFormat="1" ht="14.1" customHeight="1">
      <c r="B1909" s="951"/>
      <c r="C1909" s="622" t="s">
        <v>222</v>
      </c>
      <c r="D1909" s="760" t="s">
        <v>76</v>
      </c>
      <c r="E1909" s="761"/>
      <c r="F1909" s="761"/>
      <c r="G1909" s="761"/>
      <c r="H1909" s="762"/>
      <c r="I1909" s="761"/>
      <c r="J1909" s="763" t="s">
        <v>226</v>
      </c>
      <c r="K1909" s="758">
        <f>SUM(K1907:K1908)</f>
        <v>464895.2</v>
      </c>
      <c r="L1909" s="751"/>
      <c r="M1909" s="751"/>
      <c r="N1909" s="751"/>
      <c r="Q1909" s="595"/>
      <c r="R1909" s="484"/>
      <c r="S1909" s="595"/>
      <c r="T1909" s="595"/>
      <c r="U1909" s="595"/>
    </row>
    <row r="1910" spans="2:21" s="485" customFormat="1" ht="14.1" customHeight="1">
      <c r="B1910" s="948"/>
      <c r="Q1910" s="595"/>
      <c r="R1910" s="484"/>
      <c r="S1910" s="595"/>
      <c r="T1910" s="595"/>
      <c r="U1910" s="595"/>
    </row>
    <row r="1911" spans="2:21" s="485" customFormat="1" ht="14.1" hidden="1" customHeight="1">
      <c r="B1911" s="951">
        <f>B1890+1</f>
        <v>98</v>
      </c>
      <c r="C1911" s="488"/>
      <c r="D1911" s="485" t="s">
        <v>542</v>
      </c>
      <c r="H1911" s="650"/>
      <c r="K1911" s="591" t="s">
        <v>543</v>
      </c>
      <c r="L1911" s="591"/>
      <c r="M1911" s="591"/>
      <c r="N1911" s="591"/>
      <c r="O1911" s="485" t="str">
        <f>D1912</f>
        <v>m2</v>
      </c>
      <c r="P1911" s="636">
        <f>K1929</f>
        <v>341055.4</v>
      </c>
      <c r="Q1911" s="593">
        <f>L1927</f>
        <v>0.99499084811441196</v>
      </c>
      <c r="R1911" s="484">
        <f>N1927</f>
        <v>302988.39437500003</v>
      </c>
      <c r="S1911" s="594"/>
      <c r="T1911" s="484"/>
      <c r="U1911" s="593"/>
    </row>
    <row r="1912" spans="2:21" s="485" customFormat="1" ht="14.1" hidden="1" customHeight="1">
      <c r="B1912" s="951"/>
      <c r="C1912" s="488"/>
      <c r="D1912" s="485" t="s">
        <v>100</v>
      </c>
      <c r="H1912" s="650"/>
      <c r="Q1912" s="595"/>
      <c r="R1912" s="484"/>
      <c r="S1912" s="595"/>
      <c r="T1912" s="595"/>
      <c r="U1912" s="595"/>
    </row>
    <row r="1913" spans="2:21" s="485" customFormat="1" ht="14.1" hidden="1" customHeight="1">
      <c r="B1913" s="951"/>
      <c r="C1913" s="596"/>
      <c r="D1913" s="977" t="s">
        <v>55</v>
      </c>
      <c r="E1913" s="978"/>
      <c r="F1913" s="597"/>
      <c r="G1913" s="981" t="s">
        <v>56</v>
      </c>
      <c r="H1913" s="986" t="s">
        <v>57</v>
      </c>
      <c r="I1913" s="596" t="s">
        <v>58</v>
      </c>
      <c r="J1913" s="596" t="s">
        <v>59</v>
      </c>
      <c r="K1913" s="596" t="s">
        <v>102</v>
      </c>
      <c r="L1913" s="596" t="s">
        <v>418</v>
      </c>
      <c r="M1913" s="596" t="s">
        <v>419</v>
      </c>
      <c r="N1913" s="596" t="s">
        <v>59</v>
      </c>
      <c r="Q1913" s="595"/>
      <c r="R1913" s="484"/>
      <c r="S1913" s="595"/>
      <c r="T1913" s="595"/>
      <c r="U1913" s="595"/>
    </row>
    <row r="1914" spans="2:21" s="485" customFormat="1" ht="14.1" hidden="1" customHeight="1">
      <c r="B1914" s="951"/>
      <c r="C1914" s="598" t="s">
        <v>227</v>
      </c>
      <c r="D1914" s="979"/>
      <c r="E1914" s="980"/>
      <c r="F1914" s="599"/>
      <c r="G1914" s="982"/>
      <c r="H1914" s="987"/>
      <c r="I1914" s="598" t="s">
        <v>60</v>
      </c>
      <c r="J1914" s="598" t="s">
        <v>61</v>
      </c>
      <c r="K1914" s="598" t="s">
        <v>61</v>
      </c>
      <c r="L1914" s="598" t="s">
        <v>421</v>
      </c>
      <c r="M1914" s="598"/>
      <c r="N1914" s="598" t="s">
        <v>423</v>
      </c>
      <c r="Q1914" s="595"/>
      <c r="R1914" s="484"/>
      <c r="S1914" s="595"/>
      <c r="T1914" s="595"/>
      <c r="U1914" s="595"/>
    </row>
    <row r="1915" spans="2:21" s="485" customFormat="1" ht="14.1" hidden="1" customHeight="1">
      <c r="B1915" s="951"/>
      <c r="C1915" s="600"/>
      <c r="D1915" s="969"/>
      <c r="E1915" s="970"/>
      <c r="F1915" s="601"/>
      <c r="G1915" s="973"/>
      <c r="H1915" s="988"/>
      <c r="I1915" s="600" t="s">
        <v>61</v>
      </c>
      <c r="J1915" s="602"/>
      <c r="K1915" s="602"/>
      <c r="L1915" s="602"/>
      <c r="M1915" s="602"/>
      <c r="N1915" s="600" t="s">
        <v>61</v>
      </c>
      <c r="Q1915" s="595"/>
      <c r="R1915" s="484"/>
      <c r="S1915" s="595"/>
      <c r="T1915" s="595"/>
      <c r="U1915" s="595"/>
    </row>
    <row r="1916" spans="2:21" s="485" customFormat="1" ht="14.1" hidden="1" customHeight="1">
      <c r="B1916" s="951"/>
      <c r="C1916" s="598" t="s">
        <v>213</v>
      </c>
      <c r="D1916" s="603" t="s">
        <v>62</v>
      </c>
      <c r="E1916" s="615" t="s">
        <v>544</v>
      </c>
      <c r="F1916" s="615"/>
      <c r="G1916" s="605" t="s">
        <v>100</v>
      </c>
      <c r="H1916" s="616">
        <v>1.05</v>
      </c>
      <c r="I1916" s="617">
        <f>'UPH-TNG'!$I$42</f>
        <v>165000</v>
      </c>
      <c r="J1916" s="491">
        <f>ROUND(H1916*I1916,2)</f>
        <v>173250</v>
      </c>
      <c r="K1916" s="492"/>
      <c r="L1916" s="501">
        <v>1</v>
      </c>
      <c r="M1916" s="494"/>
      <c r="N1916" s="491">
        <f t="shared" ref="N1916:N1926" si="128">L1916*J1916</f>
        <v>173250</v>
      </c>
      <c r="Q1916" s="595"/>
      <c r="R1916" s="484"/>
      <c r="S1916" s="595"/>
      <c r="T1916" s="595"/>
      <c r="U1916" s="595"/>
    </row>
    <row r="1917" spans="2:21" s="485" customFormat="1" ht="14.1" hidden="1" customHeight="1">
      <c r="B1917" s="951"/>
      <c r="C1917" s="598"/>
      <c r="D1917" s="607"/>
      <c r="E1917" s="615" t="s">
        <v>75</v>
      </c>
      <c r="F1917" s="615"/>
      <c r="G1917" s="605" t="s">
        <v>73</v>
      </c>
      <c r="H1917" s="616">
        <v>11.75</v>
      </c>
      <c r="I1917" s="617">
        <f>'UPH-TNG'!$I$104</f>
        <v>1425</v>
      </c>
      <c r="J1917" s="491">
        <f>ROUND(H1917*I1917,2)</f>
        <v>16743.75</v>
      </c>
      <c r="K1917" s="496"/>
      <c r="L1917" s="501">
        <f>$L$163</f>
        <v>0.90890000000000004</v>
      </c>
      <c r="M1917" s="494" t="s">
        <v>429</v>
      </c>
      <c r="N1917" s="491">
        <f t="shared" si="128"/>
        <v>15218.394375</v>
      </c>
      <c r="Q1917" s="595"/>
      <c r="R1917" s="484"/>
      <c r="S1917" s="595"/>
      <c r="T1917" s="595"/>
      <c r="U1917" s="595"/>
    </row>
    <row r="1918" spans="2:21" s="485" customFormat="1" ht="14.1" hidden="1" customHeight="1">
      <c r="B1918" s="951"/>
      <c r="C1918" s="598"/>
      <c r="D1918" s="607"/>
      <c r="E1918" s="615" t="s">
        <v>97</v>
      </c>
      <c r="F1918" s="615"/>
      <c r="G1918" s="605" t="s">
        <v>68</v>
      </c>
      <c r="H1918" s="616">
        <v>3.5000000000000003E-2</v>
      </c>
      <c r="I1918" s="617">
        <f>'UPH-TNG'!$I$107</f>
        <v>280000</v>
      </c>
      <c r="J1918" s="491">
        <f>ROUND(H1918*I1918,2)</f>
        <v>9800</v>
      </c>
      <c r="K1918" s="496"/>
      <c r="L1918" s="501">
        <v>1</v>
      </c>
      <c r="M1918" s="494"/>
      <c r="N1918" s="491">
        <f t="shared" si="128"/>
        <v>9800</v>
      </c>
      <c r="Q1918" s="595"/>
      <c r="R1918" s="484"/>
      <c r="S1918" s="595"/>
      <c r="T1918" s="595"/>
      <c r="U1918" s="595"/>
    </row>
    <row r="1919" spans="2:21" s="485" customFormat="1" ht="14.1" hidden="1" customHeight="1">
      <c r="B1919" s="951"/>
      <c r="C1919" s="600"/>
      <c r="D1919" s="607"/>
      <c r="E1919" s="612"/>
      <c r="F1919" s="613"/>
      <c r="G1919" s="610"/>
      <c r="H1919" s="614"/>
      <c r="I1919" s="618"/>
      <c r="J1919" s="495"/>
      <c r="K1919" s="491">
        <f>SUM(J1916:J1918)</f>
        <v>199793.75</v>
      </c>
      <c r="L1919" s="501"/>
      <c r="M1919" s="494"/>
      <c r="N1919" s="491">
        <f t="shared" si="128"/>
        <v>0</v>
      </c>
      <c r="Q1919" s="595"/>
      <c r="R1919" s="484"/>
      <c r="S1919" s="595"/>
      <c r="T1919" s="595"/>
      <c r="U1919" s="595"/>
    </row>
    <row r="1920" spans="2:21" s="485" customFormat="1" ht="14.1" hidden="1" customHeight="1">
      <c r="B1920" s="951"/>
      <c r="C1920" s="598" t="s">
        <v>214</v>
      </c>
      <c r="D1920" s="603" t="s">
        <v>63</v>
      </c>
      <c r="E1920" s="615" t="s">
        <v>69</v>
      </c>
      <c r="F1920" s="615"/>
      <c r="G1920" s="605" t="s">
        <v>66</v>
      </c>
      <c r="H1920" s="616">
        <v>0.7</v>
      </c>
      <c r="I1920" s="617">
        <f>'UPH-TNG'!$I$15</f>
        <v>92000</v>
      </c>
      <c r="J1920" s="491">
        <f>ROUND(H1920*I1920,2)</f>
        <v>64400</v>
      </c>
      <c r="K1920" s="492"/>
      <c r="L1920" s="493">
        <v>1</v>
      </c>
      <c r="M1920" s="493" t="s">
        <v>422</v>
      </c>
      <c r="N1920" s="491">
        <f t="shared" si="128"/>
        <v>64400</v>
      </c>
      <c r="Q1920" s="595"/>
      <c r="R1920" s="484"/>
      <c r="S1920" s="595"/>
      <c r="T1920" s="595"/>
      <c r="U1920" s="595"/>
    </row>
    <row r="1921" spans="2:21" s="485" customFormat="1" ht="14.1" hidden="1" customHeight="1">
      <c r="B1921" s="951"/>
      <c r="C1921" s="598"/>
      <c r="D1921" s="607"/>
      <c r="E1921" s="615" t="s">
        <v>70</v>
      </c>
      <c r="F1921" s="615"/>
      <c r="G1921" s="605" t="s">
        <v>66</v>
      </c>
      <c r="H1921" s="616">
        <v>0.35</v>
      </c>
      <c r="I1921" s="617">
        <f>'UPH-TNG'!$I$21</f>
        <v>95000</v>
      </c>
      <c r="J1921" s="491">
        <f>ROUND(H1921*I1921,2)</f>
        <v>33250</v>
      </c>
      <c r="K1921" s="496"/>
      <c r="L1921" s="493">
        <v>1</v>
      </c>
      <c r="M1921" s="493" t="s">
        <v>422</v>
      </c>
      <c r="N1921" s="491">
        <f t="shared" si="128"/>
        <v>33250</v>
      </c>
      <c r="Q1921" s="595"/>
      <c r="R1921" s="484"/>
      <c r="S1921" s="595"/>
      <c r="T1921" s="595"/>
      <c r="U1921" s="595"/>
    </row>
    <row r="1922" spans="2:21" s="485" customFormat="1" ht="14.1" hidden="1" customHeight="1">
      <c r="B1922" s="951"/>
      <c r="C1922" s="598"/>
      <c r="D1922" s="607"/>
      <c r="E1922" s="615" t="s">
        <v>71</v>
      </c>
      <c r="F1922" s="615"/>
      <c r="G1922" s="605" t="s">
        <v>66</v>
      </c>
      <c r="H1922" s="616">
        <v>3.5000000000000003E-2</v>
      </c>
      <c r="I1922" s="617">
        <f>'UPH-TNG'!$I$16</f>
        <v>104000</v>
      </c>
      <c r="J1922" s="491">
        <f>ROUND(H1922*I1922,2)</f>
        <v>3640</v>
      </c>
      <c r="K1922" s="496"/>
      <c r="L1922" s="493">
        <v>1</v>
      </c>
      <c r="M1922" s="493" t="s">
        <v>422</v>
      </c>
      <c r="N1922" s="491">
        <f t="shared" si="128"/>
        <v>3640</v>
      </c>
      <c r="Q1922" s="595"/>
      <c r="R1922" s="484"/>
      <c r="S1922" s="595"/>
      <c r="T1922" s="595"/>
      <c r="U1922" s="595"/>
    </row>
    <row r="1923" spans="2:21" s="485" customFormat="1" ht="14.1" hidden="1" customHeight="1">
      <c r="B1923" s="951"/>
      <c r="C1923" s="598"/>
      <c r="D1923" s="607"/>
      <c r="E1923" s="615" t="s">
        <v>65</v>
      </c>
      <c r="F1923" s="615"/>
      <c r="G1923" s="605" t="s">
        <v>66</v>
      </c>
      <c r="H1923" s="616">
        <v>3.5000000000000003E-2</v>
      </c>
      <c r="I1923" s="617">
        <f>'UPH-TNG'!$I$20</f>
        <v>98000</v>
      </c>
      <c r="J1923" s="491">
        <f>ROUND(H1923*I1923,2)</f>
        <v>3430</v>
      </c>
      <c r="K1923" s="607"/>
      <c r="L1923" s="493">
        <v>1</v>
      </c>
      <c r="M1923" s="493" t="s">
        <v>422</v>
      </c>
      <c r="N1923" s="491">
        <f t="shared" si="128"/>
        <v>3430</v>
      </c>
      <c r="Q1923" s="595"/>
      <c r="R1923" s="484"/>
      <c r="S1923" s="595"/>
      <c r="T1923" s="595"/>
      <c r="U1923" s="595"/>
    </row>
    <row r="1924" spans="2:21" s="485" customFormat="1" ht="14.1" hidden="1" customHeight="1">
      <c r="B1924" s="951"/>
      <c r="C1924" s="600"/>
      <c r="D1924" s="602"/>
      <c r="E1924" s="612"/>
      <c r="F1924" s="613"/>
      <c r="G1924" s="610"/>
      <c r="H1924" s="614"/>
      <c r="I1924" s="618"/>
      <c r="J1924" s="495"/>
      <c r="K1924" s="494">
        <f>SUM(J1920:J1923)</f>
        <v>104720</v>
      </c>
      <c r="L1924" s="501"/>
      <c r="M1924" s="494"/>
      <c r="N1924" s="491">
        <f t="shared" si="128"/>
        <v>0</v>
      </c>
      <c r="Q1924" s="595"/>
      <c r="R1924" s="484"/>
      <c r="S1924" s="595"/>
      <c r="T1924" s="595"/>
      <c r="U1924" s="595"/>
    </row>
    <row r="1925" spans="2:21" s="485" customFormat="1" ht="14.1" hidden="1" customHeight="1">
      <c r="B1925" s="951"/>
      <c r="C1925" s="598" t="s">
        <v>215</v>
      </c>
      <c r="D1925" s="603" t="s">
        <v>212</v>
      </c>
      <c r="E1925" s="615"/>
      <c r="F1925" s="615"/>
      <c r="G1925" s="605"/>
      <c r="H1925" s="616"/>
      <c r="I1925" s="617"/>
      <c r="J1925" s="491"/>
      <c r="K1925" s="492"/>
      <c r="L1925" s="501"/>
      <c r="M1925" s="494"/>
      <c r="N1925" s="491">
        <f t="shared" si="128"/>
        <v>0</v>
      </c>
      <c r="Q1925" s="595"/>
      <c r="R1925" s="484"/>
      <c r="S1925" s="595"/>
      <c r="T1925" s="595"/>
      <c r="U1925" s="595"/>
    </row>
    <row r="1926" spans="2:21" s="485" customFormat="1" ht="14.1" hidden="1" customHeight="1">
      <c r="B1926" s="951"/>
      <c r="C1926" s="600"/>
      <c r="D1926" s="602"/>
      <c r="E1926" s="612"/>
      <c r="F1926" s="613"/>
      <c r="G1926" s="610"/>
      <c r="H1926" s="614"/>
      <c r="I1926" s="618"/>
      <c r="J1926" s="495"/>
      <c r="K1926" s="494">
        <f>SUM(J1925:J1925)</f>
        <v>0</v>
      </c>
      <c r="L1926" s="501"/>
      <c r="M1926" s="494"/>
      <c r="N1926" s="491">
        <f t="shared" si="128"/>
        <v>0</v>
      </c>
      <c r="Q1926" s="595"/>
      <c r="R1926" s="484"/>
      <c r="S1926" s="595"/>
      <c r="T1926" s="595"/>
      <c r="U1926" s="595"/>
    </row>
    <row r="1927" spans="2:21" s="485" customFormat="1" ht="14.1" hidden="1" customHeight="1">
      <c r="B1927" s="951"/>
      <c r="C1927" s="600" t="s">
        <v>216</v>
      </c>
      <c r="D1927" s="619" t="s">
        <v>219</v>
      </c>
      <c r="E1927" s="613"/>
      <c r="F1927" s="613"/>
      <c r="G1927" s="610"/>
      <c r="H1927" s="614"/>
      <c r="I1927" s="618"/>
      <c r="J1927" s="497" t="s">
        <v>220</v>
      </c>
      <c r="K1927" s="494">
        <f>K1919+K1924+K1926</f>
        <v>304513.75</v>
      </c>
      <c r="L1927" s="649">
        <f>N1927/K1927</f>
        <v>0.99499084811441196</v>
      </c>
      <c r="M1927" s="497"/>
      <c r="N1927" s="498">
        <f>SUM(N1915:N1926)</f>
        <v>302988.39437500003</v>
      </c>
      <c r="Q1927" s="595"/>
      <c r="R1927" s="484"/>
      <c r="S1927" s="595"/>
      <c r="T1927" s="595"/>
      <c r="U1927" s="595"/>
    </row>
    <row r="1928" spans="2:21" s="485" customFormat="1" ht="14.1" hidden="1" customHeight="1">
      <c r="B1928" s="951"/>
      <c r="C1928" s="600" t="s">
        <v>217</v>
      </c>
      <c r="D1928" s="619" t="s">
        <v>221</v>
      </c>
      <c r="E1928" s="613"/>
      <c r="F1928" s="499">
        <f>$F$48</f>
        <v>0.1</v>
      </c>
      <c r="G1928" s="605" t="s">
        <v>168</v>
      </c>
      <c r="H1928" s="499">
        <f>$H$48</f>
        <v>0.02</v>
      </c>
      <c r="I1928" s="621" t="s">
        <v>167</v>
      </c>
      <c r="J1928" s="494" t="s">
        <v>216</v>
      </c>
      <c r="K1928" s="500">
        <f>ROUND((K1927*(F1928+H1928)),2)</f>
        <v>36541.65</v>
      </c>
      <c r="L1928" s="494"/>
      <c r="M1928" s="494"/>
      <c r="N1928" s="494"/>
      <c r="Q1928" s="595"/>
      <c r="R1928" s="484"/>
      <c r="S1928" s="595"/>
      <c r="T1928" s="595"/>
      <c r="U1928" s="595"/>
    </row>
    <row r="1929" spans="2:21" s="485" customFormat="1" ht="14.1" hidden="1" customHeight="1">
      <c r="B1929" s="951"/>
      <c r="C1929" s="622" t="s">
        <v>222</v>
      </c>
      <c r="D1929" s="623" t="s">
        <v>76</v>
      </c>
      <c r="E1929" s="624"/>
      <c r="F1929" s="624"/>
      <c r="G1929" s="624"/>
      <c r="H1929" s="625"/>
      <c r="I1929" s="624"/>
      <c r="J1929" s="626" t="s">
        <v>226</v>
      </c>
      <c r="K1929" s="627">
        <f>SUM(K1927:K1928)</f>
        <v>341055.4</v>
      </c>
      <c r="L1929" s="620"/>
      <c r="M1929" s="626"/>
      <c r="N1929" s="635"/>
      <c r="Q1929" s="595"/>
      <c r="R1929" s="484"/>
      <c r="S1929" s="595"/>
      <c r="T1929" s="595"/>
      <c r="U1929" s="595"/>
    </row>
    <row r="1930" spans="2:21" s="485" customFormat="1" ht="14.1" hidden="1" customHeight="1">
      <c r="B1930" s="948"/>
      <c r="Q1930" s="595"/>
      <c r="R1930" s="484"/>
      <c r="S1930" s="595"/>
      <c r="T1930" s="595"/>
      <c r="U1930" s="595"/>
    </row>
    <row r="1931" spans="2:21" s="485" customFormat="1" ht="14.1" hidden="1" customHeight="1">
      <c r="B1931" s="951">
        <f>B1911+1</f>
        <v>99</v>
      </c>
      <c r="C1931" s="488"/>
      <c r="D1931" s="485" t="s">
        <v>546</v>
      </c>
      <c r="H1931" s="650"/>
      <c r="K1931" s="591" t="s">
        <v>547</v>
      </c>
      <c r="L1931" s="591"/>
      <c r="M1931" s="591"/>
      <c r="N1931" s="591"/>
      <c r="O1931" s="485" t="str">
        <f>D1932</f>
        <v>m2</v>
      </c>
      <c r="P1931" s="636">
        <f>K1949</f>
        <v>258735.4</v>
      </c>
      <c r="Q1931" s="593">
        <f>L1947</f>
        <v>0.99339712192456076</v>
      </c>
      <c r="R1931" s="484">
        <f>N1947</f>
        <v>229488.394375</v>
      </c>
      <c r="S1931" s="594"/>
      <c r="T1931" s="484"/>
      <c r="U1931" s="593"/>
    </row>
    <row r="1932" spans="2:21" s="485" customFormat="1" ht="14.1" hidden="1" customHeight="1">
      <c r="B1932" s="951"/>
      <c r="C1932" s="488"/>
      <c r="D1932" s="485" t="s">
        <v>100</v>
      </c>
      <c r="H1932" s="650"/>
      <c r="Q1932" s="595"/>
      <c r="R1932" s="484"/>
      <c r="S1932" s="595"/>
      <c r="T1932" s="595"/>
      <c r="U1932" s="595"/>
    </row>
    <row r="1933" spans="2:21" s="485" customFormat="1" ht="14.1" hidden="1" customHeight="1">
      <c r="B1933" s="951"/>
      <c r="C1933" s="596"/>
      <c r="D1933" s="977" t="s">
        <v>55</v>
      </c>
      <c r="E1933" s="978"/>
      <c r="F1933" s="597"/>
      <c r="G1933" s="981" t="s">
        <v>56</v>
      </c>
      <c r="H1933" s="986" t="s">
        <v>57</v>
      </c>
      <c r="I1933" s="596" t="s">
        <v>58</v>
      </c>
      <c r="J1933" s="596" t="s">
        <v>59</v>
      </c>
      <c r="K1933" s="596" t="s">
        <v>102</v>
      </c>
      <c r="L1933" s="596" t="s">
        <v>418</v>
      </c>
      <c r="M1933" s="596" t="s">
        <v>419</v>
      </c>
      <c r="N1933" s="596" t="s">
        <v>59</v>
      </c>
      <c r="Q1933" s="595"/>
      <c r="R1933" s="484"/>
      <c r="S1933" s="595"/>
      <c r="T1933" s="595"/>
      <c r="U1933" s="595"/>
    </row>
    <row r="1934" spans="2:21" s="485" customFormat="1" ht="14.1" hidden="1" customHeight="1">
      <c r="B1934" s="951"/>
      <c r="C1934" s="598" t="s">
        <v>227</v>
      </c>
      <c r="D1934" s="979"/>
      <c r="E1934" s="980"/>
      <c r="F1934" s="599"/>
      <c r="G1934" s="982"/>
      <c r="H1934" s="987"/>
      <c r="I1934" s="598" t="s">
        <v>60</v>
      </c>
      <c r="J1934" s="598" t="s">
        <v>61</v>
      </c>
      <c r="K1934" s="598" t="s">
        <v>61</v>
      </c>
      <c r="L1934" s="598" t="s">
        <v>421</v>
      </c>
      <c r="M1934" s="598"/>
      <c r="N1934" s="598" t="s">
        <v>423</v>
      </c>
      <c r="Q1934" s="595"/>
      <c r="R1934" s="484"/>
      <c r="S1934" s="595"/>
      <c r="T1934" s="595"/>
      <c r="U1934" s="595"/>
    </row>
    <row r="1935" spans="2:21" s="485" customFormat="1" ht="14.1" hidden="1" customHeight="1">
      <c r="B1935" s="951"/>
      <c r="C1935" s="600"/>
      <c r="D1935" s="969"/>
      <c r="E1935" s="970"/>
      <c r="F1935" s="601"/>
      <c r="G1935" s="973"/>
      <c r="H1935" s="988"/>
      <c r="I1935" s="600" t="s">
        <v>61</v>
      </c>
      <c r="J1935" s="602"/>
      <c r="K1935" s="602"/>
      <c r="L1935" s="602"/>
      <c r="M1935" s="602"/>
      <c r="N1935" s="600" t="s">
        <v>61</v>
      </c>
      <c r="Q1935" s="595"/>
      <c r="R1935" s="484"/>
      <c r="S1935" s="595"/>
      <c r="T1935" s="595"/>
      <c r="U1935" s="595"/>
    </row>
    <row r="1936" spans="2:21" s="485" customFormat="1" ht="14.1" hidden="1" customHeight="1">
      <c r="B1936" s="951"/>
      <c r="C1936" s="598" t="s">
        <v>213</v>
      </c>
      <c r="D1936" s="603" t="s">
        <v>62</v>
      </c>
      <c r="E1936" s="615" t="s">
        <v>548</v>
      </c>
      <c r="F1936" s="615"/>
      <c r="G1936" s="605" t="s">
        <v>100</v>
      </c>
      <c r="H1936" s="616">
        <v>1.05</v>
      </c>
      <c r="I1936" s="617">
        <f>'UPH-TNG'!$I$43</f>
        <v>95000</v>
      </c>
      <c r="J1936" s="491">
        <f>ROUND(H1936*I1936,2)</f>
        <v>99750</v>
      </c>
      <c r="K1936" s="492"/>
      <c r="L1936" s="501">
        <v>1</v>
      </c>
      <c r="M1936" s="494"/>
      <c r="N1936" s="491">
        <f t="shared" ref="N1936:N1946" si="129">L1936*J1936</f>
        <v>99750</v>
      </c>
      <c r="Q1936" s="595"/>
      <c r="R1936" s="484"/>
      <c r="S1936" s="595"/>
      <c r="T1936" s="595"/>
      <c r="U1936" s="595"/>
    </row>
    <row r="1937" spans="1:21" s="485" customFormat="1" ht="14.1" hidden="1" customHeight="1">
      <c r="B1937" s="951"/>
      <c r="C1937" s="598"/>
      <c r="D1937" s="607"/>
      <c r="E1937" s="615" t="s">
        <v>75</v>
      </c>
      <c r="F1937" s="615"/>
      <c r="G1937" s="605" t="s">
        <v>73</v>
      </c>
      <c r="H1937" s="616">
        <v>11.75</v>
      </c>
      <c r="I1937" s="617">
        <f>'UPH-TNG'!$I$104</f>
        <v>1425</v>
      </c>
      <c r="J1937" s="491">
        <f>ROUND(H1937*I1937,2)</f>
        <v>16743.75</v>
      </c>
      <c r="K1937" s="496"/>
      <c r="L1937" s="501">
        <f>$L$163</f>
        <v>0.90890000000000004</v>
      </c>
      <c r="M1937" s="494" t="s">
        <v>429</v>
      </c>
      <c r="N1937" s="491">
        <f t="shared" si="129"/>
        <v>15218.394375</v>
      </c>
      <c r="Q1937" s="595"/>
      <c r="R1937" s="484"/>
      <c r="S1937" s="595"/>
      <c r="T1937" s="595"/>
      <c r="U1937" s="595"/>
    </row>
    <row r="1938" spans="1:21" s="485" customFormat="1" ht="14.1" hidden="1" customHeight="1">
      <c r="B1938" s="951"/>
      <c r="C1938" s="598"/>
      <c r="D1938" s="607"/>
      <c r="E1938" s="615" t="s">
        <v>97</v>
      </c>
      <c r="F1938" s="615"/>
      <c r="G1938" s="605" t="s">
        <v>68</v>
      </c>
      <c r="H1938" s="616">
        <v>3.5000000000000003E-2</v>
      </c>
      <c r="I1938" s="617">
        <f>'UPH-TNG'!$I$107</f>
        <v>280000</v>
      </c>
      <c r="J1938" s="491">
        <f>ROUND(H1938*I1938,2)</f>
        <v>9800</v>
      </c>
      <c r="K1938" s="496"/>
      <c r="L1938" s="501">
        <v>1</v>
      </c>
      <c r="M1938" s="494"/>
      <c r="N1938" s="491">
        <f t="shared" si="129"/>
        <v>9800</v>
      </c>
      <c r="Q1938" s="595"/>
      <c r="R1938" s="484"/>
      <c r="S1938" s="595"/>
      <c r="T1938" s="595"/>
      <c r="U1938" s="595"/>
    </row>
    <row r="1939" spans="1:21" s="485" customFormat="1" ht="14.1" hidden="1" customHeight="1">
      <c r="B1939" s="951"/>
      <c r="C1939" s="600"/>
      <c r="D1939" s="607"/>
      <c r="E1939" s="612"/>
      <c r="F1939" s="613"/>
      <c r="G1939" s="610"/>
      <c r="H1939" s="614"/>
      <c r="I1939" s="618"/>
      <c r="J1939" s="495"/>
      <c r="K1939" s="491">
        <f>SUM(J1936:J1938)</f>
        <v>126293.75</v>
      </c>
      <c r="L1939" s="501"/>
      <c r="M1939" s="494"/>
      <c r="N1939" s="491">
        <f t="shared" si="129"/>
        <v>0</v>
      </c>
      <c r="Q1939" s="595"/>
      <c r="R1939" s="484"/>
      <c r="S1939" s="595"/>
      <c r="T1939" s="595"/>
      <c r="U1939" s="595"/>
    </row>
    <row r="1940" spans="1:21" s="485" customFormat="1" ht="14.1" hidden="1" customHeight="1">
      <c r="B1940" s="951"/>
      <c r="C1940" s="598" t="s">
        <v>214</v>
      </c>
      <c r="D1940" s="603" t="s">
        <v>63</v>
      </c>
      <c r="E1940" s="615" t="s">
        <v>69</v>
      </c>
      <c r="F1940" s="615"/>
      <c r="G1940" s="605" t="s">
        <v>66</v>
      </c>
      <c r="H1940" s="616">
        <v>0.7</v>
      </c>
      <c r="I1940" s="617">
        <f>'UPH-TNG'!$I$15</f>
        <v>92000</v>
      </c>
      <c r="J1940" s="491">
        <f>ROUND(H1940*I1940,2)</f>
        <v>64400</v>
      </c>
      <c r="K1940" s="492"/>
      <c r="L1940" s="493">
        <v>1</v>
      </c>
      <c r="M1940" s="493" t="s">
        <v>422</v>
      </c>
      <c r="N1940" s="491">
        <f t="shared" si="129"/>
        <v>64400</v>
      </c>
      <c r="Q1940" s="595"/>
      <c r="R1940" s="484"/>
      <c r="S1940" s="595"/>
      <c r="T1940" s="595"/>
      <c r="U1940" s="595"/>
    </row>
    <row r="1941" spans="1:21" s="485" customFormat="1" ht="14.1" hidden="1" customHeight="1">
      <c r="B1941" s="951"/>
      <c r="C1941" s="598"/>
      <c r="D1941" s="607"/>
      <c r="E1941" s="615" t="s">
        <v>70</v>
      </c>
      <c r="F1941" s="615"/>
      <c r="G1941" s="605" t="s">
        <v>66</v>
      </c>
      <c r="H1941" s="616">
        <v>0.35</v>
      </c>
      <c r="I1941" s="617">
        <f>'UPH-TNG'!$I$21</f>
        <v>95000</v>
      </c>
      <c r="J1941" s="491">
        <f>ROUND(H1941*I1941,2)</f>
        <v>33250</v>
      </c>
      <c r="K1941" s="496"/>
      <c r="L1941" s="493">
        <v>1</v>
      </c>
      <c r="M1941" s="493" t="s">
        <v>422</v>
      </c>
      <c r="N1941" s="491">
        <f t="shared" si="129"/>
        <v>33250</v>
      </c>
      <c r="Q1941" s="595"/>
      <c r="R1941" s="484"/>
      <c r="S1941" s="595"/>
      <c r="T1941" s="595"/>
      <c r="U1941" s="595"/>
    </row>
    <row r="1942" spans="1:21" s="485" customFormat="1" ht="14.1" hidden="1" customHeight="1">
      <c r="B1942" s="951"/>
      <c r="C1942" s="598"/>
      <c r="D1942" s="607"/>
      <c r="E1942" s="615" t="s">
        <v>71</v>
      </c>
      <c r="F1942" s="615"/>
      <c r="G1942" s="605" t="s">
        <v>66</v>
      </c>
      <c r="H1942" s="616">
        <v>3.5000000000000003E-2</v>
      </c>
      <c r="I1942" s="617">
        <f>'UPH-TNG'!$I$16</f>
        <v>104000</v>
      </c>
      <c r="J1942" s="491">
        <f>ROUND(H1942*I1942,2)</f>
        <v>3640</v>
      </c>
      <c r="K1942" s="496"/>
      <c r="L1942" s="493">
        <v>1</v>
      </c>
      <c r="M1942" s="493" t="s">
        <v>422</v>
      </c>
      <c r="N1942" s="491">
        <f t="shared" si="129"/>
        <v>3640</v>
      </c>
      <c r="Q1942" s="595"/>
      <c r="R1942" s="484"/>
      <c r="S1942" s="595"/>
      <c r="T1942" s="595"/>
      <c r="U1942" s="595"/>
    </row>
    <row r="1943" spans="1:21" s="485" customFormat="1" ht="14.1" hidden="1" customHeight="1">
      <c r="B1943" s="951"/>
      <c r="C1943" s="598"/>
      <c r="D1943" s="607"/>
      <c r="E1943" s="615" t="s">
        <v>65</v>
      </c>
      <c r="F1943" s="615"/>
      <c r="G1943" s="605" t="s">
        <v>66</v>
      </c>
      <c r="H1943" s="616">
        <v>3.5000000000000003E-2</v>
      </c>
      <c r="I1943" s="617">
        <f>'UPH-TNG'!$I$20</f>
        <v>98000</v>
      </c>
      <c r="J1943" s="491">
        <f>ROUND(H1943*I1943,2)</f>
        <v>3430</v>
      </c>
      <c r="K1943" s="607"/>
      <c r="L1943" s="493">
        <v>1</v>
      </c>
      <c r="M1943" s="493" t="s">
        <v>422</v>
      </c>
      <c r="N1943" s="491">
        <f t="shared" si="129"/>
        <v>3430</v>
      </c>
      <c r="Q1943" s="595"/>
      <c r="R1943" s="484"/>
      <c r="S1943" s="595"/>
      <c r="T1943" s="595"/>
      <c r="U1943" s="595"/>
    </row>
    <row r="1944" spans="1:21" s="485" customFormat="1" ht="14.1" hidden="1" customHeight="1">
      <c r="B1944" s="951"/>
      <c r="C1944" s="600"/>
      <c r="D1944" s="602"/>
      <c r="E1944" s="612"/>
      <c r="F1944" s="613"/>
      <c r="G1944" s="610"/>
      <c r="H1944" s="614"/>
      <c r="I1944" s="618"/>
      <c r="J1944" s="495"/>
      <c r="K1944" s="494">
        <f>SUM(J1940:J1943)</f>
        <v>104720</v>
      </c>
      <c r="L1944" s="501"/>
      <c r="M1944" s="494"/>
      <c r="N1944" s="491">
        <f t="shared" si="129"/>
        <v>0</v>
      </c>
      <c r="Q1944" s="595"/>
      <c r="R1944" s="484"/>
      <c r="S1944" s="595"/>
      <c r="T1944" s="595"/>
      <c r="U1944" s="595"/>
    </row>
    <row r="1945" spans="1:21" s="485" customFormat="1" ht="14.1" hidden="1" customHeight="1">
      <c r="B1945" s="951"/>
      <c r="C1945" s="598" t="s">
        <v>215</v>
      </c>
      <c r="D1945" s="603" t="s">
        <v>212</v>
      </c>
      <c r="E1945" s="615"/>
      <c r="F1945" s="615"/>
      <c r="G1945" s="605"/>
      <c r="H1945" s="616"/>
      <c r="I1945" s="617"/>
      <c r="J1945" s="491"/>
      <c r="K1945" s="492"/>
      <c r="L1945" s="501"/>
      <c r="M1945" s="494"/>
      <c r="N1945" s="491">
        <f t="shared" si="129"/>
        <v>0</v>
      </c>
      <c r="Q1945" s="595"/>
      <c r="R1945" s="484"/>
      <c r="S1945" s="595"/>
      <c r="T1945" s="595"/>
      <c r="U1945" s="595"/>
    </row>
    <row r="1946" spans="1:21" s="485" customFormat="1" ht="14.1" hidden="1" customHeight="1">
      <c r="B1946" s="951"/>
      <c r="C1946" s="600"/>
      <c r="D1946" s="602"/>
      <c r="E1946" s="612"/>
      <c r="F1946" s="613"/>
      <c r="G1946" s="610"/>
      <c r="H1946" s="614"/>
      <c r="I1946" s="618"/>
      <c r="J1946" s="495"/>
      <c r="K1946" s="494">
        <f>SUM(J1945:J1945)</f>
        <v>0</v>
      </c>
      <c r="L1946" s="501"/>
      <c r="M1946" s="494"/>
      <c r="N1946" s="491">
        <f t="shared" si="129"/>
        <v>0</v>
      </c>
      <c r="Q1946" s="595"/>
      <c r="R1946" s="484"/>
      <c r="S1946" s="595"/>
      <c r="T1946" s="595"/>
      <c r="U1946" s="595"/>
    </row>
    <row r="1947" spans="1:21" s="485" customFormat="1" ht="14.1" hidden="1" customHeight="1">
      <c r="B1947" s="951"/>
      <c r="C1947" s="600" t="s">
        <v>216</v>
      </c>
      <c r="D1947" s="619" t="s">
        <v>219</v>
      </c>
      <c r="E1947" s="613"/>
      <c r="F1947" s="613"/>
      <c r="G1947" s="610"/>
      <c r="H1947" s="614"/>
      <c r="I1947" s="618"/>
      <c r="J1947" s="497" t="s">
        <v>220</v>
      </c>
      <c r="K1947" s="494">
        <f>K1939+K1944+K1946</f>
        <v>231013.75</v>
      </c>
      <c r="L1947" s="649">
        <f>N1947/K1947</f>
        <v>0.99339712192456076</v>
      </c>
      <c r="M1947" s="497"/>
      <c r="N1947" s="498">
        <f>SUM(N1935:N1946)</f>
        <v>229488.394375</v>
      </c>
      <c r="Q1947" s="595"/>
      <c r="R1947" s="484"/>
      <c r="S1947" s="595"/>
      <c r="T1947" s="595"/>
      <c r="U1947" s="595"/>
    </row>
    <row r="1948" spans="1:21" s="485" customFormat="1" ht="14.1" hidden="1" customHeight="1">
      <c r="B1948" s="951"/>
      <c r="C1948" s="600" t="s">
        <v>217</v>
      </c>
      <c r="D1948" s="619" t="s">
        <v>221</v>
      </c>
      <c r="E1948" s="613"/>
      <c r="F1948" s="499">
        <f>$F$48</f>
        <v>0.1</v>
      </c>
      <c r="G1948" s="605" t="s">
        <v>168</v>
      </c>
      <c r="H1948" s="499">
        <f>$H$48</f>
        <v>0.02</v>
      </c>
      <c r="I1948" s="621" t="s">
        <v>167</v>
      </c>
      <c r="J1948" s="494" t="s">
        <v>216</v>
      </c>
      <c r="K1948" s="500">
        <f>ROUND((K1947*(F1948+H1948)),2)</f>
        <v>27721.65</v>
      </c>
      <c r="L1948" s="494"/>
      <c r="M1948" s="494"/>
      <c r="N1948" s="494"/>
      <c r="Q1948" s="595"/>
      <c r="R1948" s="484"/>
      <c r="S1948" s="595"/>
      <c r="T1948" s="595"/>
      <c r="U1948" s="595"/>
    </row>
    <row r="1949" spans="1:21" s="485" customFormat="1" ht="14.1" hidden="1" customHeight="1">
      <c r="B1949" s="951"/>
      <c r="C1949" s="622" t="s">
        <v>222</v>
      </c>
      <c r="D1949" s="623" t="s">
        <v>76</v>
      </c>
      <c r="E1949" s="624"/>
      <c r="F1949" s="624"/>
      <c r="G1949" s="624"/>
      <c r="H1949" s="625"/>
      <c r="I1949" s="624"/>
      <c r="J1949" s="626" t="s">
        <v>226</v>
      </c>
      <c r="K1949" s="627">
        <f>SUM(K1947:K1948)</f>
        <v>258735.4</v>
      </c>
      <c r="L1949" s="620"/>
      <c r="M1949" s="626"/>
      <c r="N1949" s="635"/>
      <c r="Q1949" s="595"/>
      <c r="R1949" s="484"/>
      <c r="S1949" s="595"/>
      <c r="T1949" s="595"/>
      <c r="U1949" s="595"/>
    </row>
    <row r="1950" spans="1:21" s="485" customFormat="1" ht="14.1" hidden="1" customHeight="1">
      <c r="B1950" s="948"/>
      <c r="Q1950" s="595"/>
      <c r="R1950" s="484"/>
      <c r="S1950" s="595"/>
      <c r="T1950" s="595"/>
      <c r="U1950" s="595"/>
    </row>
    <row r="1951" spans="1:21" s="485" customFormat="1" ht="14.1" hidden="1" customHeight="1">
      <c r="A1951" s="485">
        <v>26</v>
      </c>
      <c r="B1951" s="951">
        <f>B1931+1</f>
        <v>100</v>
      </c>
      <c r="C1951" s="488"/>
      <c r="D1951" s="485" t="s">
        <v>598</v>
      </c>
      <c r="H1951" s="488"/>
      <c r="K1951" s="591" t="s">
        <v>239</v>
      </c>
      <c r="L1951" s="485" t="str">
        <f>D1952</f>
        <v>m2</v>
      </c>
      <c r="M1951" s="636"/>
      <c r="O1951" s="485" t="str">
        <f>D1952</f>
        <v>m2</v>
      </c>
      <c r="P1951" s="636">
        <f>K1974</f>
        <v>756017.04999999993</v>
      </c>
      <c r="Q1951" s="593">
        <f>L1972</f>
        <v>0.1905823693871673</v>
      </c>
      <c r="R1951" s="484">
        <f>N1972</f>
        <v>128646</v>
      </c>
    </row>
    <row r="1952" spans="1:21" s="485" customFormat="1" ht="14.1" hidden="1" customHeight="1">
      <c r="B1952" s="951"/>
      <c r="C1952" s="488"/>
      <c r="D1952" s="485" t="s">
        <v>100</v>
      </c>
      <c r="H1952" s="488"/>
    </row>
    <row r="1953" spans="2:18" s="485" customFormat="1" ht="14.1" hidden="1" customHeight="1">
      <c r="B1953" s="951"/>
      <c r="C1953" s="488"/>
      <c r="H1953" s="488"/>
    </row>
    <row r="1954" spans="2:18" s="485" customFormat="1" ht="14.1" hidden="1" customHeight="1">
      <c r="B1954" s="951"/>
      <c r="C1954" s="748"/>
      <c r="D1954" s="989" t="s">
        <v>55</v>
      </c>
      <c r="E1954" s="990"/>
      <c r="F1954" s="749"/>
      <c r="G1954" s="992" t="s">
        <v>56</v>
      </c>
      <c r="H1954" s="992" t="s">
        <v>57</v>
      </c>
      <c r="I1954" s="748" t="s">
        <v>58</v>
      </c>
      <c r="J1954" s="748" t="s">
        <v>59</v>
      </c>
      <c r="K1954" s="748" t="s">
        <v>102</v>
      </c>
      <c r="L1954" s="596" t="s">
        <v>418</v>
      </c>
      <c r="M1954" s="596" t="s">
        <v>419</v>
      </c>
      <c r="N1954" s="596" t="s">
        <v>59</v>
      </c>
    </row>
    <row r="1955" spans="2:18" s="485" customFormat="1" ht="14.1" hidden="1" customHeight="1">
      <c r="B1955" s="951"/>
      <c r="C1955" s="670" t="s">
        <v>227</v>
      </c>
      <c r="D1955" s="991"/>
      <c r="E1955" s="968"/>
      <c r="F1955" s="654"/>
      <c r="G1955" s="993"/>
      <c r="H1955" s="993"/>
      <c r="I1955" s="670" t="s">
        <v>60</v>
      </c>
      <c r="J1955" s="670" t="s">
        <v>61</v>
      </c>
      <c r="K1955" s="670" t="s">
        <v>61</v>
      </c>
      <c r="L1955" s="598" t="s">
        <v>421</v>
      </c>
      <c r="M1955" s="598"/>
      <c r="N1955" s="598" t="s">
        <v>423</v>
      </c>
    </row>
    <row r="1956" spans="2:18" s="485" customFormat="1" ht="14.1" hidden="1" customHeight="1">
      <c r="B1956" s="951"/>
      <c r="C1956" s="600"/>
      <c r="D1956" s="969"/>
      <c r="E1956" s="970"/>
      <c r="F1956" s="601"/>
      <c r="G1956" s="973"/>
      <c r="H1956" s="973"/>
      <c r="I1956" s="600" t="s">
        <v>61</v>
      </c>
      <c r="J1956" s="602"/>
      <c r="K1956" s="602"/>
      <c r="L1956" s="602"/>
      <c r="M1956" s="602"/>
      <c r="N1956" s="600" t="s">
        <v>61</v>
      </c>
    </row>
    <row r="1957" spans="2:18" s="485" customFormat="1" ht="14.1" hidden="1" customHeight="1">
      <c r="B1957" s="951"/>
      <c r="C1957" s="748" t="s">
        <v>213</v>
      </c>
      <c r="D1957" s="666" t="s">
        <v>62</v>
      </c>
      <c r="E1957" s="764" t="s">
        <v>599</v>
      </c>
      <c r="F1957" s="764"/>
      <c r="G1957" s="746" t="s">
        <v>100</v>
      </c>
      <c r="H1957" s="752">
        <v>1.1000000000000001</v>
      </c>
      <c r="I1957" s="617">
        <v>298611.11111111112</v>
      </c>
      <c r="J1957" s="537">
        <f>ROUND(H1957*I1957,2)</f>
        <v>328472.21999999997</v>
      </c>
      <c r="K1957" s="750"/>
      <c r="L1957" s="501">
        <v>0</v>
      </c>
      <c r="M1957" s="494"/>
      <c r="N1957" s="491">
        <f t="shared" ref="N1957:N1961" si="130">L1957*J1957</f>
        <v>0</v>
      </c>
      <c r="P1957" s="485">
        <f>2.4*1.2</f>
        <v>2.88</v>
      </c>
      <c r="Q1957" s="573">
        <f>I1957*P1957</f>
        <v>860000</v>
      </c>
      <c r="R1957" s="485">
        <f>'UPH-TNG'!I38</f>
        <v>860000</v>
      </c>
    </row>
    <row r="1958" spans="2:18" s="485" customFormat="1" ht="14.1" hidden="1" customHeight="1">
      <c r="B1958" s="951"/>
      <c r="C1958" s="666"/>
      <c r="D1958" s="666"/>
      <c r="E1958" s="764" t="s">
        <v>600</v>
      </c>
      <c r="F1958" s="764"/>
      <c r="G1958" s="746" t="s">
        <v>50</v>
      </c>
      <c r="H1958" s="752">
        <v>1.45</v>
      </c>
      <c r="I1958" s="617">
        <v>136000</v>
      </c>
      <c r="J1958" s="537">
        <f>ROUND(H1958*I1958,2)</f>
        <v>197200</v>
      </c>
      <c r="K1958" s="666"/>
      <c r="L1958" s="501">
        <v>0</v>
      </c>
      <c r="M1958" s="494"/>
      <c r="N1958" s="491">
        <f t="shared" si="130"/>
        <v>0</v>
      </c>
      <c r="R1958" s="485">
        <f>R1957/P1957</f>
        <v>298611.11111111112</v>
      </c>
    </row>
    <row r="1959" spans="2:18" s="485" customFormat="1" ht="14.1" hidden="1" customHeight="1">
      <c r="B1959" s="951"/>
      <c r="C1959" s="666"/>
      <c r="D1959" s="666"/>
      <c r="E1959" s="764" t="s">
        <v>601</v>
      </c>
      <c r="F1959" s="764"/>
      <c r="G1959" s="746" t="s">
        <v>50</v>
      </c>
      <c r="H1959" s="752">
        <v>0.26700000000000002</v>
      </c>
      <c r="I1959" s="617">
        <v>23000</v>
      </c>
      <c r="J1959" s="537">
        <f t="shared" ref="J1959:J1961" si="131">ROUND(H1959*I1959,2)</f>
        <v>6141</v>
      </c>
      <c r="K1959" s="666"/>
      <c r="L1959" s="501">
        <v>0</v>
      </c>
      <c r="M1959" s="494"/>
      <c r="N1959" s="491">
        <f t="shared" si="130"/>
        <v>0</v>
      </c>
    </row>
    <row r="1960" spans="2:18" s="485" customFormat="1" ht="14.1" hidden="1" customHeight="1">
      <c r="B1960" s="951"/>
      <c r="C1960" s="666"/>
      <c r="D1960" s="666"/>
      <c r="E1960" s="764" t="s">
        <v>602</v>
      </c>
      <c r="F1960" s="764"/>
      <c r="G1960" s="746" t="s">
        <v>73</v>
      </c>
      <c r="H1960" s="752">
        <v>0.08</v>
      </c>
      <c r="I1960" s="617">
        <f>'UPH-TNG'!I101</f>
        <v>5700</v>
      </c>
      <c r="J1960" s="537">
        <f t="shared" si="131"/>
        <v>456</v>
      </c>
      <c r="K1960" s="666"/>
      <c r="L1960" s="501">
        <v>0</v>
      </c>
      <c r="M1960" s="494"/>
      <c r="N1960" s="491">
        <f t="shared" si="130"/>
        <v>0</v>
      </c>
    </row>
    <row r="1961" spans="2:18" s="485" customFormat="1" ht="14.1" hidden="1" customHeight="1">
      <c r="B1961" s="951"/>
      <c r="C1961" s="666"/>
      <c r="D1961" s="666"/>
      <c r="E1961" s="764" t="s">
        <v>82</v>
      </c>
      <c r="F1961" s="764"/>
      <c r="G1961" s="746" t="s">
        <v>36</v>
      </c>
      <c r="H1961" s="752">
        <v>0.25</v>
      </c>
      <c r="I1961" s="617">
        <f>'UPH-TNG'!I131</f>
        <v>60000</v>
      </c>
      <c r="J1961" s="537">
        <f t="shared" si="131"/>
        <v>15000</v>
      </c>
      <c r="K1961" s="666"/>
      <c r="L1961" s="501">
        <v>1</v>
      </c>
      <c r="M1961" s="494"/>
      <c r="N1961" s="491">
        <f t="shared" si="130"/>
        <v>15000</v>
      </c>
    </row>
    <row r="1962" spans="2:18" s="485" customFormat="1" ht="14.1" hidden="1" customHeight="1">
      <c r="B1962" s="951"/>
      <c r="C1962" s="600"/>
      <c r="D1962" s="666"/>
      <c r="E1962" s="765"/>
      <c r="F1962" s="766"/>
      <c r="G1962" s="740"/>
      <c r="H1962" s="755"/>
      <c r="I1962" s="754"/>
      <c r="J1962" s="544"/>
      <c r="K1962" s="537">
        <f>SUM(J1957:J1961)</f>
        <v>547269.22</v>
      </c>
      <c r="L1962" s="501"/>
      <c r="M1962" s="494"/>
      <c r="N1962" s="491"/>
    </row>
    <row r="1963" spans="2:18" s="485" customFormat="1" ht="14.1" hidden="1" customHeight="1">
      <c r="B1963" s="951"/>
      <c r="C1963" s="748" t="s">
        <v>214</v>
      </c>
      <c r="D1963" s="750" t="s">
        <v>63</v>
      </c>
      <c r="E1963" s="751" t="s">
        <v>69</v>
      </c>
      <c r="F1963" s="751"/>
      <c r="G1963" s="746" t="s">
        <v>66</v>
      </c>
      <c r="H1963" s="752">
        <v>0.39</v>
      </c>
      <c r="I1963" s="617">
        <f>'UPH-TNG'!$I$15</f>
        <v>92000</v>
      </c>
      <c r="J1963" s="537">
        <f>ROUND(H1963*I1963,2)</f>
        <v>35880</v>
      </c>
      <c r="K1963" s="750"/>
      <c r="L1963" s="501">
        <v>1</v>
      </c>
      <c r="M1963" s="494"/>
      <c r="N1963" s="491">
        <f t="shared" ref="N1963:N1966" si="132">L1963*J1963</f>
        <v>35880</v>
      </c>
    </row>
    <row r="1964" spans="2:18" s="485" customFormat="1" ht="14.1" hidden="1" customHeight="1">
      <c r="B1964" s="951"/>
      <c r="C1964" s="666"/>
      <c r="D1964" s="666"/>
      <c r="E1964" s="751" t="s">
        <v>603</v>
      </c>
      <c r="F1964" s="751"/>
      <c r="G1964" s="746" t="s">
        <v>66</v>
      </c>
      <c r="H1964" s="752">
        <v>0.7</v>
      </c>
      <c r="I1964" s="617">
        <f>'UPH-TNG'!$I$21</f>
        <v>95000</v>
      </c>
      <c r="J1964" s="537">
        <f>ROUND(H1964*I1964,2)</f>
        <v>66500</v>
      </c>
      <c r="K1964" s="515"/>
      <c r="L1964" s="501">
        <v>1</v>
      </c>
      <c r="M1964" s="494"/>
      <c r="N1964" s="491">
        <f t="shared" si="132"/>
        <v>66500</v>
      </c>
    </row>
    <row r="1965" spans="2:18" s="485" customFormat="1" ht="14.1" hidden="1" customHeight="1">
      <c r="B1965" s="951"/>
      <c r="C1965" s="666"/>
      <c r="D1965" s="666"/>
      <c r="E1965" s="751" t="s">
        <v>71</v>
      </c>
      <c r="F1965" s="751"/>
      <c r="G1965" s="746" t="s">
        <v>66</v>
      </c>
      <c r="H1965" s="752">
        <v>7.0000000000000007E-2</v>
      </c>
      <c r="I1965" s="617">
        <f>'UPH-TNG'!$I$16</f>
        <v>104000</v>
      </c>
      <c r="J1965" s="537">
        <f>ROUND(H1965*I1965,2)</f>
        <v>7280</v>
      </c>
      <c r="K1965" s="515"/>
      <c r="L1965" s="501">
        <v>1</v>
      </c>
      <c r="M1965" s="494"/>
      <c r="N1965" s="491">
        <f t="shared" si="132"/>
        <v>7280</v>
      </c>
    </row>
    <row r="1966" spans="2:18" s="485" customFormat="1" ht="14.1" hidden="1" customHeight="1">
      <c r="B1966" s="951"/>
      <c r="C1966" s="666"/>
      <c r="D1966" s="666"/>
      <c r="E1966" s="751" t="s">
        <v>65</v>
      </c>
      <c r="F1966" s="751"/>
      <c r="G1966" s="746" t="s">
        <v>66</v>
      </c>
      <c r="H1966" s="752">
        <v>7.0000000000000001E-3</v>
      </c>
      <c r="I1966" s="617">
        <f>'UPH-TNG'!$I$20</f>
        <v>98000</v>
      </c>
      <c r="J1966" s="537">
        <f>ROUND(H1966*I1966,2)</f>
        <v>686</v>
      </c>
      <c r="K1966" s="515"/>
      <c r="L1966" s="501">
        <v>1</v>
      </c>
      <c r="M1966" s="494"/>
      <c r="N1966" s="491">
        <f t="shared" si="132"/>
        <v>686</v>
      </c>
    </row>
    <row r="1967" spans="2:18" s="485" customFormat="1" ht="14.1" hidden="1" customHeight="1">
      <c r="B1967" s="951"/>
      <c r="C1967" s="600"/>
      <c r="D1967" s="602"/>
      <c r="E1967" s="753"/>
      <c r="F1967" s="754"/>
      <c r="G1967" s="740"/>
      <c r="H1967" s="755"/>
      <c r="I1967" s="548"/>
      <c r="J1967" s="767"/>
      <c r="K1967" s="536">
        <f>SUM(J1963:J1966)</f>
        <v>110346</v>
      </c>
      <c r="L1967" s="501"/>
      <c r="M1967" s="494"/>
      <c r="N1967" s="491"/>
    </row>
    <row r="1968" spans="2:18" s="485" customFormat="1" ht="14.1" hidden="1" customHeight="1">
      <c r="B1968" s="951"/>
      <c r="C1968" s="670" t="s">
        <v>215</v>
      </c>
      <c r="D1968" s="750" t="s">
        <v>212</v>
      </c>
      <c r="E1968" s="751" t="s">
        <v>604</v>
      </c>
      <c r="F1968" s="751"/>
      <c r="G1968" s="746" t="s">
        <v>190</v>
      </c>
      <c r="H1968" s="752">
        <v>0.04</v>
      </c>
      <c r="I1968" s="756">
        <v>110000</v>
      </c>
      <c r="J1968" s="537">
        <f t="shared" ref="J1968:J1970" si="133">ROUND(H1968*I1968,2)</f>
        <v>4400</v>
      </c>
      <c r="K1968" s="542"/>
      <c r="L1968" s="501">
        <v>0.75</v>
      </c>
      <c r="M1968" s="494"/>
      <c r="N1968" s="491">
        <f t="shared" ref="N1968:N1970" si="134">L1968*J1968</f>
        <v>3300</v>
      </c>
    </row>
    <row r="1969" spans="2:21" s="485" customFormat="1" ht="14.1" hidden="1" customHeight="1">
      <c r="B1969" s="951"/>
      <c r="C1969" s="670"/>
      <c r="D1969" s="666"/>
      <c r="E1969" s="751" t="s">
        <v>605</v>
      </c>
      <c r="F1969" s="751"/>
      <c r="G1969" s="746" t="s">
        <v>49</v>
      </c>
      <c r="H1969" s="752">
        <v>1</v>
      </c>
      <c r="I1969" s="756">
        <v>3000</v>
      </c>
      <c r="J1969" s="537">
        <f t="shared" si="133"/>
        <v>3000</v>
      </c>
      <c r="K1969" s="542"/>
      <c r="L1969" s="501">
        <v>0</v>
      </c>
      <c r="M1969" s="494"/>
      <c r="N1969" s="491">
        <f t="shared" si="134"/>
        <v>0</v>
      </c>
    </row>
    <row r="1970" spans="2:21" s="485" customFormat="1" ht="14.1" hidden="1" customHeight="1">
      <c r="B1970" s="951"/>
      <c r="C1970" s="670"/>
      <c r="D1970" s="666"/>
      <c r="E1970" s="751" t="s">
        <v>606</v>
      </c>
      <c r="F1970" s="751"/>
      <c r="G1970" s="746" t="s">
        <v>49</v>
      </c>
      <c r="H1970" s="752">
        <v>1</v>
      </c>
      <c r="I1970" s="756">
        <v>10000</v>
      </c>
      <c r="J1970" s="537">
        <f t="shared" si="133"/>
        <v>10000</v>
      </c>
      <c r="K1970" s="542"/>
      <c r="L1970" s="501">
        <v>0</v>
      </c>
      <c r="M1970" s="494"/>
      <c r="N1970" s="491">
        <f t="shared" si="134"/>
        <v>0</v>
      </c>
    </row>
    <row r="1971" spans="2:21" s="485" customFormat="1" ht="14.1" hidden="1" customHeight="1">
      <c r="B1971" s="951"/>
      <c r="C1971" s="602"/>
      <c r="D1971" s="602"/>
      <c r="E1971" s="753"/>
      <c r="F1971" s="754"/>
      <c r="G1971" s="740"/>
      <c r="H1971" s="755"/>
      <c r="I1971" s="757"/>
      <c r="J1971" s="544"/>
      <c r="K1971" s="536">
        <f>SUM(J1968:J1970)</f>
        <v>17400</v>
      </c>
      <c r="L1971" s="501"/>
      <c r="M1971" s="494"/>
      <c r="N1971" s="491"/>
    </row>
    <row r="1972" spans="2:21" s="485" customFormat="1" ht="14.1" hidden="1" customHeight="1">
      <c r="B1972" s="951"/>
      <c r="C1972" s="600" t="s">
        <v>216</v>
      </c>
      <c r="D1972" s="619" t="s">
        <v>219</v>
      </c>
      <c r="E1972" s="754"/>
      <c r="F1972" s="754"/>
      <c r="G1972" s="740"/>
      <c r="H1972" s="755"/>
      <c r="I1972" s="757"/>
      <c r="J1972" s="545" t="s">
        <v>220</v>
      </c>
      <c r="K1972" s="536">
        <f>K1962+K1967+K1971</f>
        <v>675015.22</v>
      </c>
      <c r="L1972" s="649">
        <f>N1972/K1972</f>
        <v>0.1905823693871673</v>
      </c>
      <c r="M1972" s="497"/>
      <c r="N1972" s="498">
        <f>SUM(N1960:N1971)</f>
        <v>128646</v>
      </c>
    </row>
    <row r="1973" spans="2:21" s="485" customFormat="1" ht="14.1" hidden="1" customHeight="1">
      <c r="B1973" s="951"/>
      <c r="C1973" s="600" t="s">
        <v>217</v>
      </c>
      <c r="D1973" s="619" t="s">
        <v>221</v>
      </c>
      <c r="E1973" s="754"/>
      <c r="F1973" s="546">
        <v>0.1</v>
      </c>
      <c r="G1973" s="746" t="s">
        <v>168</v>
      </c>
      <c r="H1973" s="546">
        <v>0.02</v>
      </c>
      <c r="I1973" s="759" t="s">
        <v>167</v>
      </c>
      <c r="J1973" s="536" t="s">
        <v>216</v>
      </c>
      <c r="K1973" s="547">
        <f>ROUND((K1972*(F1973+H1973)),2)</f>
        <v>81001.83</v>
      </c>
      <c r="L1973" s="494"/>
      <c r="M1973" s="494"/>
      <c r="N1973" s="494"/>
    </row>
    <row r="1974" spans="2:21" s="485" customFormat="1" ht="14.1" hidden="1" customHeight="1">
      <c r="B1974" s="951"/>
      <c r="C1974" s="622" t="s">
        <v>222</v>
      </c>
      <c r="D1974" s="760" t="s">
        <v>76</v>
      </c>
      <c r="E1974" s="761"/>
      <c r="F1974" s="761"/>
      <c r="G1974" s="761"/>
      <c r="H1974" s="762"/>
      <c r="I1974" s="761"/>
      <c r="J1974" s="763" t="s">
        <v>226</v>
      </c>
      <c r="K1974" s="758">
        <f>SUM(K1972:K1973)</f>
        <v>756017.04999999993</v>
      </c>
      <c r="L1974" s="620"/>
      <c r="M1974" s="626"/>
      <c r="N1974" s="635"/>
    </row>
    <row r="1975" spans="2:21" s="485" customFormat="1" ht="14.1" hidden="1" customHeight="1">
      <c r="B1975" s="948"/>
      <c r="Q1975" s="595"/>
      <c r="R1975" s="484"/>
      <c r="S1975" s="595"/>
      <c r="T1975" s="595"/>
      <c r="U1975" s="595"/>
    </row>
    <row r="1976" spans="2:21" s="485" customFormat="1" ht="14.1" hidden="1" customHeight="1">
      <c r="B1976" s="951">
        <f>B1951+1</f>
        <v>101</v>
      </c>
      <c r="C1976" s="488"/>
      <c r="D1976" s="709" t="s">
        <v>460</v>
      </c>
      <c r="K1976" s="591" t="s">
        <v>239</v>
      </c>
      <c r="L1976" s="591"/>
      <c r="M1976" s="591"/>
      <c r="N1976" s="591"/>
      <c r="O1976" s="485" t="str">
        <f>D1977</f>
        <v>VA</v>
      </c>
      <c r="P1976" s="636">
        <f>K1992</f>
        <v>1684.48</v>
      </c>
      <c r="Q1976" s="593">
        <f>L1990</f>
        <v>1</v>
      </c>
      <c r="R1976" s="484">
        <f>N1990</f>
        <v>1504</v>
      </c>
      <c r="S1976" s="594"/>
      <c r="T1976" s="484"/>
      <c r="U1976" s="593"/>
    </row>
    <row r="1977" spans="2:21" s="485" customFormat="1" ht="14.1" hidden="1" customHeight="1">
      <c r="B1977" s="951"/>
      <c r="C1977" s="488"/>
      <c r="D1977" s="485" t="s">
        <v>434</v>
      </c>
      <c r="Q1977" s="595"/>
      <c r="R1977" s="484"/>
      <c r="S1977" s="595"/>
      <c r="T1977" s="595"/>
      <c r="U1977" s="595"/>
    </row>
    <row r="1978" spans="2:21" s="485" customFormat="1" ht="14.1" hidden="1" customHeight="1">
      <c r="B1978" s="951"/>
      <c r="C1978" s="596"/>
      <c r="D1978" s="977" t="s">
        <v>55</v>
      </c>
      <c r="E1978" s="978"/>
      <c r="F1978" s="597"/>
      <c r="G1978" s="981" t="s">
        <v>56</v>
      </c>
      <c r="H1978" s="981" t="s">
        <v>57</v>
      </c>
      <c r="I1978" s="596" t="s">
        <v>58</v>
      </c>
      <c r="J1978" s="596" t="s">
        <v>59</v>
      </c>
      <c r="K1978" s="596" t="s">
        <v>102</v>
      </c>
      <c r="L1978" s="596" t="s">
        <v>418</v>
      </c>
      <c r="M1978" s="596" t="s">
        <v>419</v>
      </c>
      <c r="N1978" s="596" t="s">
        <v>59</v>
      </c>
      <c r="Q1978" s="595"/>
      <c r="R1978" s="484"/>
      <c r="S1978" s="595"/>
      <c r="T1978" s="595"/>
      <c r="U1978" s="595"/>
    </row>
    <row r="1979" spans="2:21" s="485" customFormat="1" ht="14.1" hidden="1" customHeight="1">
      <c r="B1979" s="951"/>
      <c r="C1979" s="598" t="s">
        <v>227</v>
      </c>
      <c r="D1979" s="979"/>
      <c r="E1979" s="980"/>
      <c r="F1979" s="599"/>
      <c r="G1979" s="982"/>
      <c r="H1979" s="982"/>
      <c r="I1979" s="598" t="s">
        <v>60</v>
      </c>
      <c r="J1979" s="598" t="s">
        <v>61</v>
      </c>
      <c r="K1979" s="598" t="s">
        <v>61</v>
      </c>
      <c r="L1979" s="598" t="s">
        <v>421</v>
      </c>
      <c r="M1979" s="598"/>
      <c r="N1979" s="598" t="s">
        <v>423</v>
      </c>
      <c r="Q1979" s="595"/>
      <c r="R1979" s="484"/>
      <c r="S1979" s="595"/>
      <c r="T1979" s="595"/>
      <c r="U1979" s="595"/>
    </row>
    <row r="1980" spans="2:21" s="485" customFormat="1" ht="14.1" hidden="1" customHeight="1">
      <c r="B1980" s="951"/>
      <c r="C1980" s="600"/>
      <c r="D1980" s="969"/>
      <c r="E1980" s="970"/>
      <c r="F1980" s="601"/>
      <c r="G1980" s="973"/>
      <c r="H1980" s="973"/>
      <c r="I1980" s="600" t="s">
        <v>61</v>
      </c>
      <c r="J1980" s="602"/>
      <c r="K1980" s="602"/>
      <c r="L1980" s="602"/>
      <c r="M1980" s="602"/>
      <c r="N1980" s="600" t="s">
        <v>61</v>
      </c>
      <c r="Q1980" s="595"/>
      <c r="R1980" s="484"/>
      <c r="S1980" s="595"/>
      <c r="T1980" s="595"/>
      <c r="U1980" s="595"/>
    </row>
    <row r="1981" spans="2:21" s="485" customFormat="1" ht="14.1" hidden="1" customHeight="1">
      <c r="B1981" s="951"/>
      <c r="C1981" s="596" t="s">
        <v>213</v>
      </c>
      <c r="D1981" s="603" t="s">
        <v>62</v>
      </c>
      <c r="E1981" s="505"/>
      <c r="F1981" s="505"/>
      <c r="G1981" s="605"/>
      <c r="H1981" s="742"/>
      <c r="I1981" s="491"/>
      <c r="J1981" s="491"/>
      <c r="K1981" s="492"/>
      <c r="L1981" s="493"/>
      <c r="M1981" s="494"/>
      <c r="N1981" s="491"/>
      <c r="Q1981" s="595"/>
      <c r="R1981" s="484"/>
      <c r="S1981" s="595"/>
      <c r="T1981" s="595"/>
      <c r="U1981" s="595"/>
    </row>
    <row r="1982" spans="2:21" s="485" customFormat="1" ht="14.1" hidden="1" customHeight="1">
      <c r="B1982" s="951"/>
      <c r="C1982" s="607"/>
      <c r="D1982" s="607"/>
      <c r="E1982" s="710"/>
      <c r="F1982" s="710"/>
      <c r="G1982" s="605"/>
      <c r="H1982" s="742"/>
      <c r="I1982" s="491"/>
      <c r="J1982" s="491"/>
      <c r="K1982" s="511"/>
      <c r="L1982" s="493"/>
      <c r="M1982" s="494"/>
      <c r="N1982" s="491"/>
      <c r="Q1982" s="595"/>
      <c r="R1982" s="484"/>
      <c r="S1982" s="595"/>
      <c r="T1982" s="595"/>
      <c r="U1982" s="595"/>
    </row>
    <row r="1983" spans="2:21" s="485" customFormat="1" ht="14.1" hidden="1" customHeight="1">
      <c r="B1983" s="951"/>
      <c r="C1983" s="598"/>
      <c r="D1983" s="607"/>
      <c r="E1983" s="712"/>
      <c r="F1983" s="713"/>
      <c r="G1983" s="610"/>
      <c r="H1983" s="743"/>
      <c r="I1983" s="504"/>
      <c r="J1983" s="495"/>
      <c r="K1983" s="491"/>
      <c r="L1983" s="493"/>
      <c r="M1983" s="494"/>
      <c r="N1983" s="491"/>
      <c r="Q1983" s="595"/>
      <c r="R1983" s="484"/>
      <c r="S1983" s="595"/>
      <c r="T1983" s="595"/>
      <c r="U1983" s="595"/>
    </row>
    <row r="1984" spans="2:21" s="485" customFormat="1" ht="14.1" hidden="1" customHeight="1">
      <c r="B1984" s="951"/>
      <c r="C1984" s="596" t="s">
        <v>214</v>
      </c>
      <c r="D1984" s="603" t="s">
        <v>63</v>
      </c>
      <c r="E1984" s="710" t="s">
        <v>433</v>
      </c>
      <c r="F1984" s="710"/>
      <c r="G1984" s="605" t="s">
        <v>434</v>
      </c>
      <c r="H1984" s="742">
        <v>1</v>
      </c>
      <c r="I1984" s="491">
        <f>'UPH-TNG'!I152</f>
        <v>1269</v>
      </c>
      <c r="J1984" s="491">
        <f>ROUND(H1984*I1984,2)</f>
        <v>1269</v>
      </c>
      <c r="K1984" s="492"/>
      <c r="L1984" s="493">
        <v>1</v>
      </c>
      <c r="M1984" s="493" t="s">
        <v>422</v>
      </c>
      <c r="N1984" s="491">
        <f t="shared" ref="N1984:N1989" si="135">L1984*J1984</f>
        <v>1269</v>
      </c>
      <c r="Q1984" s="595"/>
      <c r="R1984" s="484"/>
      <c r="S1984" s="595"/>
      <c r="T1984" s="595"/>
      <c r="U1984" s="595"/>
    </row>
    <row r="1985" spans="2:21" s="485" customFormat="1" ht="14.1" hidden="1" customHeight="1">
      <c r="B1985" s="951"/>
      <c r="C1985" s="607"/>
      <c r="D1985" s="607"/>
      <c r="E1985" s="710" t="s">
        <v>435</v>
      </c>
      <c r="F1985" s="710"/>
      <c r="G1985" s="605" t="s">
        <v>434</v>
      </c>
      <c r="H1985" s="742">
        <v>1</v>
      </c>
      <c r="I1985" s="491">
        <f>'UPH-TNG'!I153</f>
        <v>195</v>
      </c>
      <c r="J1985" s="491">
        <f>ROUND(H1985*I1985,2)</f>
        <v>195</v>
      </c>
      <c r="K1985" s="496"/>
      <c r="L1985" s="493">
        <v>1</v>
      </c>
      <c r="M1985" s="493" t="s">
        <v>422</v>
      </c>
      <c r="N1985" s="491">
        <f t="shared" si="135"/>
        <v>195</v>
      </c>
      <c r="Q1985" s="595"/>
      <c r="R1985" s="484"/>
      <c r="S1985" s="595"/>
      <c r="T1985" s="595"/>
      <c r="U1985" s="595"/>
    </row>
    <row r="1986" spans="2:21" s="485" customFormat="1" ht="14.1" hidden="1" customHeight="1">
      <c r="B1986" s="951"/>
      <c r="C1986" s="607"/>
      <c r="D1986" s="607"/>
      <c r="E1986" s="710" t="s">
        <v>436</v>
      </c>
      <c r="F1986" s="710"/>
      <c r="G1986" s="605" t="s">
        <v>434</v>
      </c>
      <c r="H1986" s="742">
        <v>1</v>
      </c>
      <c r="I1986" s="491">
        <f>'UPH-TNG'!I154</f>
        <v>40</v>
      </c>
      <c r="J1986" s="491">
        <f>ROUND(H1986*I1986,2)</f>
        <v>40</v>
      </c>
      <c r="K1986" s="496"/>
      <c r="L1986" s="493">
        <v>1</v>
      </c>
      <c r="M1986" s="493" t="s">
        <v>422</v>
      </c>
      <c r="N1986" s="491">
        <f t="shared" si="135"/>
        <v>40</v>
      </c>
      <c r="Q1986" s="595"/>
      <c r="R1986" s="484"/>
      <c r="S1986" s="595"/>
      <c r="T1986" s="595"/>
      <c r="U1986" s="595"/>
    </row>
    <row r="1987" spans="2:21" s="485" customFormat="1" ht="14.1" hidden="1" customHeight="1">
      <c r="B1987" s="951"/>
      <c r="C1987" s="600"/>
      <c r="D1987" s="602"/>
      <c r="E1987" s="612"/>
      <c r="F1987" s="613"/>
      <c r="G1987" s="610"/>
      <c r="H1987" s="744"/>
      <c r="I1987" s="504"/>
      <c r="J1987" s="495"/>
      <c r="K1987" s="494">
        <f>SUM(J1984:J1986)</f>
        <v>1504</v>
      </c>
      <c r="L1987" s="493"/>
      <c r="M1987" s="494"/>
      <c r="N1987" s="491">
        <f t="shared" si="135"/>
        <v>0</v>
      </c>
      <c r="Q1987" s="595"/>
      <c r="R1987" s="484"/>
      <c r="S1987" s="595"/>
      <c r="T1987" s="595"/>
      <c r="U1987" s="595"/>
    </row>
    <row r="1988" spans="2:21" s="485" customFormat="1" ht="14.1" hidden="1" customHeight="1">
      <c r="B1988" s="951"/>
      <c r="C1988" s="598" t="s">
        <v>215</v>
      </c>
      <c r="D1988" s="603" t="s">
        <v>212</v>
      </c>
      <c r="E1988" s="615"/>
      <c r="F1988" s="615"/>
      <c r="G1988" s="605"/>
      <c r="H1988" s="745"/>
      <c r="I1988" s="617"/>
      <c r="J1988" s="491"/>
      <c r="K1988" s="492"/>
      <c r="L1988" s="493"/>
      <c r="M1988" s="494"/>
      <c r="N1988" s="491">
        <f t="shared" si="135"/>
        <v>0</v>
      </c>
      <c r="Q1988" s="595"/>
      <c r="R1988" s="484"/>
      <c r="S1988" s="595"/>
      <c r="T1988" s="595"/>
      <c r="U1988" s="595"/>
    </row>
    <row r="1989" spans="2:21" s="485" customFormat="1" ht="14.1" hidden="1" customHeight="1">
      <c r="B1989" s="951"/>
      <c r="C1989" s="600"/>
      <c r="D1989" s="602"/>
      <c r="E1989" s="612"/>
      <c r="F1989" s="613"/>
      <c r="G1989" s="610"/>
      <c r="H1989" s="744"/>
      <c r="I1989" s="618"/>
      <c r="J1989" s="495"/>
      <c r="K1989" s="494">
        <f>SUM(J1988:J1988)</f>
        <v>0</v>
      </c>
      <c r="L1989" s="493"/>
      <c r="M1989" s="494"/>
      <c r="N1989" s="491">
        <f t="shared" si="135"/>
        <v>0</v>
      </c>
      <c r="Q1989" s="595"/>
      <c r="R1989" s="484"/>
      <c r="S1989" s="595"/>
      <c r="T1989" s="595"/>
      <c r="U1989" s="595"/>
    </row>
    <row r="1990" spans="2:21" s="485" customFormat="1" ht="14.1" hidden="1" customHeight="1">
      <c r="B1990" s="951"/>
      <c r="C1990" s="600" t="s">
        <v>216</v>
      </c>
      <c r="D1990" s="619" t="s">
        <v>219</v>
      </c>
      <c r="E1990" s="613"/>
      <c r="F1990" s="613"/>
      <c r="G1990" s="610"/>
      <c r="H1990" s="744"/>
      <c r="I1990" s="618"/>
      <c r="J1990" s="497" t="s">
        <v>220</v>
      </c>
      <c r="K1990" s="494">
        <f>K1983+K1987+K1989</f>
        <v>1504</v>
      </c>
      <c r="L1990" s="620">
        <f>N1990/K1990</f>
        <v>1</v>
      </c>
      <c r="M1990" s="497"/>
      <c r="N1990" s="498">
        <f>SUM(N1980:N1989)</f>
        <v>1504</v>
      </c>
      <c r="Q1990" s="595"/>
      <c r="R1990" s="484"/>
      <c r="S1990" s="595"/>
      <c r="T1990" s="595"/>
      <c r="U1990" s="595"/>
    </row>
    <row r="1991" spans="2:21" s="485" customFormat="1" ht="14.1" hidden="1" customHeight="1">
      <c r="B1991" s="951"/>
      <c r="C1991" s="600" t="s">
        <v>217</v>
      </c>
      <c r="D1991" s="619" t="s">
        <v>221</v>
      </c>
      <c r="E1991" s="613"/>
      <c r="F1991" s="499">
        <f>$F$48</f>
        <v>0.1</v>
      </c>
      <c r="G1991" s="605" t="s">
        <v>168</v>
      </c>
      <c r="H1991" s="499">
        <f>$H$48</f>
        <v>0.02</v>
      </c>
      <c r="I1991" s="621" t="s">
        <v>167</v>
      </c>
      <c r="J1991" s="494" t="s">
        <v>216</v>
      </c>
      <c r="K1991" s="500">
        <f>ROUND((K1990*(F1991+H1991)),2)</f>
        <v>180.48</v>
      </c>
      <c r="L1991" s="494"/>
      <c r="M1991" s="494"/>
      <c r="N1991" s="494"/>
      <c r="Q1991" s="595"/>
      <c r="R1991" s="484"/>
      <c r="S1991" s="595"/>
      <c r="T1991" s="595"/>
      <c r="U1991" s="595"/>
    </row>
    <row r="1992" spans="2:21" s="485" customFormat="1" ht="14.1" hidden="1" customHeight="1">
      <c r="B1992" s="951"/>
      <c r="C1992" s="622" t="s">
        <v>222</v>
      </c>
      <c r="D1992" s="623" t="s">
        <v>76</v>
      </c>
      <c r="E1992" s="624"/>
      <c r="F1992" s="624"/>
      <c r="G1992" s="624"/>
      <c r="H1992" s="624"/>
      <c r="I1992" s="624"/>
      <c r="J1992" s="626" t="s">
        <v>226</v>
      </c>
      <c r="K1992" s="627">
        <f>SUM(K1990:K1991)</f>
        <v>1684.48</v>
      </c>
      <c r="L1992" s="620"/>
      <c r="M1992" s="626"/>
      <c r="N1992" s="635"/>
      <c r="Q1992" s="595"/>
      <c r="R1992" s="484"/>
      <c r="S1992" s="595"/>
      <c r="T1992" s="595"/>
      <c r="U1992" s="595"/>
    </row>
    <row r="1993" spans="2:21" s="485" customFormat="1" ht="14.1" hidden="1" customHeight="1">
      <c r="B1993" s="948"/>
      <c r="Q1993" s="595"/>
      <c r="R1993" s="484"/>
      <c r="S1993" s="595"/>
      <c r="T1993" s="595"/>
      <c r="U1993" s="595"/>
    </row>
    <row r="1994" spans="2:21">
      <c r="K1994" s="488" t="str">
        <f>RAB!$K$134</f>
        <v>Karanganyar,    Februari 2025</v>
      </c>
    </row>
    <row r="1995" spans="2:21" ht="15">
      <c r="K1995" s="487" t="str">
        <f>RAB!$K$135</f>
        <v>PEJABAT PENANDATANGAN KONTRAK</v>
      </c>
    </row>
    <row r="1996" spans="2:21" ht="15">
      <c r="K1996" s="487" t="str">
        <f>RAB!$K$136</f>
        <v>CAMAT JATEN</v>
      </c>
    </row>
    <row r="1997" spans="2:21">
      <c r="K1997" s="488"/>
    </row>
    <row r="1998" spans="2:21">
      <c r="K1998" s="488"/>
    </row>
    <row r="1999" spans="2:21">
      <c r="K1999" s="488"/>
    </row>
    <row r="2000" spans="2:21">
      <c r="H2000" s="506"/>
      <c r="K2000" s="488"/>
    </row>
    <row r="2001" spans="8:11">
      <c r="H2001" s="506"/>
      <c r="K2001" s="488"/>
    </row>
    <row r="2002" spans="8:11" ht="15">
      <c r="H2002" s="506"/>
      <c r="K2002" s="772" t="str">
        <f>RAB!$K$142</f>
        <v>JULI PADMI HANDATANI, S.Sos., M.M</v>
      </c>
    </row>
    <row r="2003" spans="8:11">
      <c r="H2003" s="506"/>
      <c r="K2003" s="488" t="str">
        <f>RAB!$K$143</f>
        <v>NIP. 197407 15199503 2 004</v>
      </c>
    </row>
  </sheetData>
  <mergeCells count="307">
    <mergeCell ref="D1954:E1956"/>
    <mergeCell ref="G1954:G1956"/>
    <mergeCell ref="H1954:H1956"/>
    <mergeCell ref="H53:H55"/>
    <mergeCell ref="D615:E617"/>
    <mergeCell ref="G615:G617"/>
    <mergeCell ref="H615:H617"/>
    <mergeCell ref="D1127:E1129"/>
    <mergeCell ref="G1127:G1129"/>
    <mergeCell ref="H1127:H1129"/>
    <mergeCell ref="D1147:E1149"/>
    <mergeCell ref="G1147:G1149"/>
    <mergeCell ref="H1147:H1149"/>
    <mergeCell ref="G817:G819"/>
    <mergeCell ref="H817:H819"/>
    <mergeCell ref="D711:E713"/>
    <mergeCell ref="G711:G713"/>
    <mergeCell ref="H711:H713"/>
    <mergeCell ref="D1071:E1073"/>
    <mergeCell ref="G1071:G1073"/>
    <mergeCell ref="H1071:H1073"/>
    <mergeCell ref="D880:E882"/>
    <mergeCell ref="G880:G882"/>
    <mergeCell ref="G1050:G1052"/>
    <mergeCell ref="D1674:E1676"/>
    <mergeCell ref="G1674:G1676"/>
    <mergeCell ref="H1674:H1676"/>
    <mergeCell ref="H1597:H1599"/>
    <mergeCell ref="D1225:E1227"/>
    <mergeCell ref="G1225:G1227"/>
    <mergeCell ref="G1473:G1475"/>
    <mergeCell ref="H1473:H1475"/>
    <mergeCell ref="G1576:G1578"/>
    <mergeCell ref="G1322:G1324"/>
    <mergeCell ref="H1322:H1324"/>
    <mergeCell ref="D1284:E1286"/>
    <mergeCell ref="G1284:G1286"/>
    <mergeCell ref="H1284:H1286"/>
    <mergeCell ref="D1303:E1305"/>
    <mergeCell ref="G1303:G1305"/>
    <mergeCell ref="D1244:E1246"/>
    <mergeCell ref="G1244:G1246"/>
    <mergeCell ref="H1244:H1246"/>
    <mergeCell ref="D1264:E1266"/>
    <mergeCell ref="G1264:G1266"/>
    <mergeCell ref="H1264:H1266"/>
    <mergeCell ref="H1225:H1227"/>
    <mergeCell ref="D1436:E1438"/>
    <mergeCell ref="G1436:G1438"/>
    <mergeCell ref="H1436:H1438"/>
    <mergeCell ref="H1189:H1191"/>
    <mergeCell ref="G1109:G1111"/>
    <mergeCell ref="D1398:E1400"/>
    <mergeCell ref="H1617:H1619"/>
    <mergeCell ref="H1303:H1305"/>
    <mergeCell ref="D1322:E1324"/>
    <mergeCell ref="H1360:H1362"/>
    <mergeCell ref="D1167:E1169"/>
    <mergeCell ref="G1167:G1169"/>
    <mergeCell ref="H1167:H1169"/>
    <mergeCell ref="D1207:E1209"/>
    <mergeCell ref="G1207:G1209"/>
    <mergeCell ref="H1207:H1209"/>
    <mergeCell ref="D1379:E1381"/>
    <mergeCell ref="G1379:G1381"/>
    <mergeCell ref="H1379:H1381"/>
    <mergeCell ref="D1758:E1760"/>
    <mergeCell ref="G1758:G1760"/>
    <mergeCell ref="H1758:H1760"/>
    <mergeCell ref="D1776:E1778"/>
    <mergeCell ref="G1776:G1778"/>
    <mergeCell ref="H1776:H1778"/>
    <mergeCell ref="G1708:G1710"/>
    <mergeCell ref="H1708:H1710"/>
    <mergeCell ref="G1691:G1693"/>
    <mergeCell ref="D1743:E1745"/>
    <mergeCell ref="G1743:G1745"/>
    <mergeCell ref="H1743:H1745"/>
    <mergeCell ref="B2:N2"/>
    <mergeCell ref="B3:N3"/>
    <mergeCell ref="B8:N8"/>
    <mergeCell ref="B4:K4"/>
    <mergeCell ref="D19:E21"/>
    <mergeCell ref="G19:G21"/>
    <mergeCell ref="H19:H21"/>
    <mergeCell ref="D127:E129"/>
    <mergeCell ref="G127:G129"/>
    <mergeCell ref="H127:H129"/>
    <mergeCell ref="D67:E69"/>
    <mergeCell ref="G67:G69"/>
    <mergeCell ref="H67:H69"/>
    <mergeCell ref="D97:E99"/>
    <mergeCell ref="G97:G99"/>
    <mergeCell ref="H97:H99"/>
    <mergeCell ref="D39:E41"/>
    <mergeCell ref="G39:G41"/>
    <mergeCell ref="H39:H41"/>
    <mergeCell ref="D83:E85"/>
    <mergeCell ref="G83:G85"/>
    <mergeCell ref="H83:H85"/>
    <mergeCell ref="D53:E55"/>
    <mergeCell ref="G53:G55"/>
    <mergeCell ref="G200:G202"/>
    <mergeCell ref="H200:H202"/>
    <mergeCell ref="D113:E115"/>
    <mergeCell ref="G113:G115"/>
    <mergeCell ref="H113:H115"/>
    <mergeCell ref="H143:H145"/>
    <mergeCell ref="D220:E222"/>
    <mergeCell ref="G220:G222"/>
    <mergeCell ref="H220:H222"/>
    <mergeCell ref="D143:E145"/>
    <mergeCell ref="G143:G145"/>
    <mergeCell ref="D159:E161"/>
    <mergeCell ref="D200:E202"/>
    <mergeCell ref="G159:G161"/>
    <mergeCell ref="H159:H161"/>
    <mergeCell ref="D180:E182"/>
    <mergeCell ref="G180:G182"/>
    <mergeCell ref="H180:H182"/>
    <mergeCell ref="D240:E242"/>
    <mergeCell ref="G240:G242"/>
    <mergeCell ref="H240:H242"/>
    <mergeCell ref="D459:E461"/>
    <mergeCell ref="G459:G461"/>
    <mergeCell ref="H459:H461"/>
    <mergeCell ref="D438:E440"/>
    <mergeCell ref="G438:G440"/>
    <mergeCell ref="H438:H440"/>
    <mergeCell ref="D417:E419"/>
    <mergeCell ref="G417:G419"/>
    <mergeCell ref="H417:H419"/>
    <mergeCell ref="D335:E337"/>
    <mergeCell ref="G335:G337"/>
    <mergeCell ref="D299:E301"/>
    <mergeCell ref="G299:G301"/>
    <mergeCell ref="H299:H301"/>
    <mergeCell ref="D260:E262"/>
    <mergeCell ref="G260:G262"/>
    <mergeCell ref="H260:H262"/>
    <mergeCell ref="D396:E398"/>
    <mergeCell ref="G396:G398"/>
    <mergeCell ref="H396:H398"/>
    <mergeCell ref="D354:E356"/>
    <mergeCell ref="D526:E528"/>
    <mergeCell ref="G526:G528"/>
    <mergeCell ref="D817:E819"/>
    <mergeCell ref="H1109:H1111"/>
    <mergeCell ref="D1090:E1092"/>
    <mergeCell ref="G1090:G1092"/>
    <mergeCell ref="D1029:E1031"/>
    <mergeCell ref="D924:E926"/>
    <mergeCell ref="G924:G926"/>
    <mergeCell ref="H924:H926"/>
    <mergeCell ref="D1109:E1111"/>
    <mergeCell ref="G1029:G1031"/>
    <mergeCell ref="H1029:H1031"/>
    <mergeCell ref="D1050:E1052"/>
    <mergeCell ref="G550:G552"/>
    <mergeCell ref="H550:H552"/>
    <mergeCell ref="D690:E692"/>
    <mergeCell ref="G690:G692"/>
    <mergeCell ref="H690:H692"/>
    <mergeCell ref="D653:E655"/>
    <mergeCell ref="G966:G968"/>
    <mergeCell ref="H966:H968"/>
    <mergeCell ref="D987:E989"/>
    <mergeCell ref="H1090:H1092"/>
    <mergeCell ref="G354:G356"/>
    <mergeCell ref="H354:H356"/>
    <mergeCell ref="D375:E377"/>
    <mergeCell ref="G375:G377"/>
    <mergeCell ref="H335:H337"/>
    <mergeCell ref="H375:H377"/>
    <mergeCell ref="D280:E282"/>
    <mergeCell ref="G280:G282"/>
    <mergeCell ref="H280:H282"/>
    <mergeCell ref="D317:E319"/>
    <mergeCell ref="G317:G319"/>
    <mergeCell ref="H317:H319"/>
    <mergeCell ref="D480:E482"/>
    <mergeCell ref="G480:G482"/>
    <mergeCell ref="H480:H482"/>
    <mergeCell ref="D501:E503"/>
    <mergeCell ref="G501:G503"/>
    <mergeCell ref="D857:E859"/>
    <mergeCell ref="G857:G859"/>
    <mergeCell ref="H526:H528"/>
    <mergeCell ref="D550:E552"/>
    <mergeCell ref="D752:E754"/>
    <mergeCell ref="G752:G754"/>
    <mergeCell ref="H752:H754"/>
    <mergeCell ref="D595:E597"/>
    <mergeCell ref="G595:G597"/>
    <mergeCell ref="H595:H597"/>
    <mergeCell ref="D732:E734"/>
    <mergeCell ref="G732:G734"/>
    <mergeCell ref="H732:H734"/>
    <mergeCell ref="D574:E576"/>
    <mergeCell ref="G574:G576"/>
    <mergeCell ref="H574:H576"/>
    <mergeCell ref="H501:H503"/>
    <mergeCell ref="G653:G655"/>
    <mergeCell ref="H653:H655"/>
    <mergeCell ref="D1978:E1980"/>
    <mergeCell ref="G1978:G1980"/>
    <mergeCell ref="H1978:H1980"/>
    <mergeCell ref="D1913:E1915"/>
    <mergeCell ref="H1398:H1400"/>
    <mergeCell ref="D1360:E1362"/>
    <mergeCell ref="G1360:G1362"/>
    <mergeCell ref="G1341:G1343"/>
    <mergeCell ref="D1691:E1693"/>
    <mergeCell ref="H1556:H1558"/>
    <mergeCell ref="H1417:H1419"/>
    <mergeCell ref="D1532:E1534"/>
    <mergeCell ref="G1532:G1534"/>
    <mergeCell ref="H1492:H1494"/>
    <mergeCell ref="D1556:E1558"/>
    <mergeCell ref="G1556:G1558"/>
    <mergeCell ref="H1532:H1534"/>
    <mergeCell ref="G1492:G1494"/>
    <mergeCell ref="H1512:H1514"/>
    <mergeCell ref="D1512:E1514"/>
    <mergeCell ref="G1512:G1514"/>
    <mergeCell ref="D1708:E1710"/>
    <mergeCell ref="G1417:G1419"/>
    <mergeCell ref="H1691:H1693"/>
    <mergeCell ref="G1913:G1915"/>
    <mergeCell ref="H1913:H1915"/>
    <mergeCell ref="D1933:E1935"/>
    <mergeCell ref="G1933:G1935"/>
    <mergeCell ref="H1933:H1935"/>
    <mergeCell ref="D1893:E1895"/>
    <mergeCell ref="G1893:G1895"/>
    <mergeCell ref="H1893:H1895"/>
    <mergeCell ref="D839:E841"/>
    <mergeCell ref="G839:G841"/>
    <mergeCell ref="H839:H841"/>
    <mergeCell ref="H880:H882"/>
    <mergeCell ref="H857:H859"/>
    <mergeCell ref="D1189:E1191"/>
    <mergeCell ref="G1189:G1191"/>
    <mergeCell ref="D945:E947"/>
    <mergeCell ref="G945:G947"/>
    <mergeCell ref="H945:H947"/>
    <mergeCell ref="D1657:E1659"/>
    <mergeCell ref="G1657:G1659"/>
    <mergeCell ref="H1657:H1659"/>
    <mergeCell ref="H1341:H1343"/>
    <mergeCell ref="D1473:E1475"/>
    <mergeCell ref="G1597:G1599"/>
    <mergeCell ref="D1868:E1870"/>
    <mergeCell ref="G1868:G1870"/>
    <mergeCell ref="H1868:H1870"/>
    <mergeCell ref="D1455:E1457"/>
    <mergeCell ref="G1455:G1457"/>
    <mergeCell ref="H1455:H1457"/>
    <mergeCell ref="D1341:E1343"/>
    <mergeCell ref="G1398:G1400"/>
    <mergeCell ref="D1417:E1419"/>
    <mergeCell ref="D1492:E1494"/>
    <mergeCell ref="D1576:E1578"/>
    <mergeCell ref="D1597:E1599"/>
    <mergeCell ref="H1576:H1578"/>
    <mergeCell ref="D1637:E1639"/>
    <mergeCell ref="G1637:G1639"/>
    <mergeCell ref="H1637:H1639"/>
    <mergeCell ref="D1617:E1619"/>
    <mergeCell ref="G1617:G1619"/>
    <mergeCell ref="D1849:E1851"/>
    <mergeCell ref="G1849:G1851"/>
    <mergeCell ref="H1849:H1851"/>
    <mergeCell ref="D1725:E1727"/>
    <mergeCell ref="G1725:G1727"/>
    <mergeCell ref="H1725:H1727"/>
    <mergeCell ref="G1008:G1010"/>
    <mergeCell ref="H1008:H1010"/>
    <mergeCell ref="D1008:E1010"/>
    <mergeCell ref="H1050:H1052"/>
    <mergeCell ref="D902:E904"/>
    <mergeCell ref="G902:G904"/>
    <mergeCell ref="H902:H904"/>
    <mergeCell ref="D634:E636"/>
    <mergeCell ref="G634:G636"/>
    <mergeCell ref="H634:H636"/>
    <mergeCell ref="D966:E968"/>
    <mergeCell ref="G987:G989"/>
    <mergeCell ref="H987:H989"/>
    <mergeCell ref="D796:E798"/>
    <mergeCell ref="G796:G798"/>
    <mergeCell ref="H796:H798"/>
    <mergeCell ref="D774:E776"/>
    <mergeCell ref="G774:G776"/>
    <mergeCell ref="H774:H776"/>
    <mergeCell ref="D672:E674"/>
    <mergeCell ref="G672:G674"/>
    <mergeCell ref="H672:H674"/>
    <mergeCell ref="D1831:E1833"/>
    <mergeCell ref="G1831:G1833"/>
    <mergeCell ref="H1831:H1833"/>
    <mergeCell ref="D1812:E1814"/>
    <mergeCell ref="G1812:G1814"/>
    <mergeCell ref="H1812:H1814"/>
    <mergeCell ref="D1794:E1796"/>
    <mergeCell ref="G1794:G1796"/>
    <mergeCell ref="H1794:H1796"/>
  </mergeCells>
  <pageMargins left="0.7" right="0.7" top="0.75" bottom="0.75" header="0.3" footer="0.3"/>
  <pageSetup paperSize="9" scale="57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B1:U914"/>
  <sheetViews>
    <sheetView topLeftCell="A148" zoomScaleSheetLayoutView="90" workbookViewId="0">
      <selection activeCell="I172" sqref="I172"/>
    </sheetView>
  </sheetViews>
  <sheetFormatPr defaultColWidth="9.140625" defaultRowHeight="15" customHeight="1"/>
  <cols>
    <col min="1" max="1" width="5.7109375" style="485" customWidth="1"/>
    <col min="2" max="2" width="5.7109375" style="488" customWidth="1"/>
    <col min="3" max="3" width="2.7109375" style="485" customWidth="1"/>
    <col min="4" max="4" width="12.7109375" style="485" customWidth="1"/>
    <col min="5" max="5" width="3.7109375" style="485" customWidth="1"/>
    <col min="6" max="6" width="27.42578125" style="485" customWidth="1"/>
    <col min="7" max="7" width="13.85546875" style="485" customWidth="1"/>
    <col min="8" max="8" width="3.7109375" style="485" customWidth="1"/>
    <col min="9" max="9" width="15.7109375" style="485" customWidth="1"/>
    <col min="10" max="10" width="10.7109375" style="485" customWidth="1"/>
    <col min="11" max="11" width="2.140625" style="485" customWidth="1"/>
    <col min="12" max="12" width="21.28515625" style="485" customWidth="1"/>
    <col min="13" max="13" width="15.28515625" style="509" customWidth="1"/>
    <col min="14" max="15" width="13.85546875" style="485" customWidth="1"/>
    <col min="16" max="16" width="13.7109375" style="485" customWidth="1"/>
    <col min="17" max="17" width="18.5703125" style="485" customWidth="1"/>
    <col min="18" max="18" width="15.140625" style="770" customWidth="1"/>
    <col min="19" max="19" width="15.140625" style="771" customWidth="1"/>
    <col min="20" max="20" width="15.140625" style="485" customWidth="1"/>
    <col min="21" max="21" width="5.7109375" style="485" customWidth="1"/>
    <col min="22" max="24" width="16.140625" style="485" customWidth="1"/>
    <col min="25" max="16384" width="9.140625" style="485"/>
  </cols>
  <sheetData>
    <row r="1" spans="2:20" ht="15" customHeight="1">
      <c r="C1" s="769"/>
      <c r="D1" s="769"/>
      <c r="E1" s="769"/>
      <c r="F1" s="769"/>
      <c r="G1" s="769"/>
      <c r="H1" s="769"/>
      <c r="I1" s="769"/>
    </row>
    <row r="2" spans="2:20" ht="20.100000000000001" customHeight="1">
      <c r="B2" s="996" t="s">
        <v>210</v>
      </c>
      <c r="C2" s="996"/>
      <c r="D2" s="996"/>
      <c r="E2" s="996"/>
      <c r="F2" s="996"/>
      <c r="G2" s="996"/>
      <c r="H2" s="996"/>
      <c r="I2" s="996"/>
      <c r="J2" s="996"/>
    </row>
    <row r="3" spans="2:20" ht="15" customHeight="1">
      <c r="B3" s="997"/>
      <c r="C3" s="997"/>
      <c r="D3" s="997"/>
      <c r="E3" s="997"/>
      <c r="F3" s="997"/>
      <c r="G3" s="997"/>
      <c r="H3" s="997"/>
      <c r="I3" s="997"/>
      <c r="J3" s="997"/>
    </row>
    <row r="4" spans="2:20" ht="18" customHeight="1">
      <c r="B4" s="773" t="str">
        <f>RAB!D13</f>
        <v>PEKERJAAN</v>
      </c>
      <c r="C4" s="488"/>
      <c r="E4" s="774" t="s">
        <v>103</v>
      </c>
      <c r="F4" s="775" t="str">
        <f>RAB!F13</f>
        <v>BELANJA MODAL BANGUNAN TEMPAT IBADAH</v>
      </c>
      <c r="H4" s="769"/>
      <c r="I4" s="769"/>
    </row>
    <row r="5" spans="2:20" ht="18" customHeight="1">
      <c r="B5" s="773" t="str">
        <f>RAB!D14</f>
        <v>L O K A S I</v>
      </c>
      <c r="C5" s="488"/>
      <c r="E5" s="774" t="s">
        <v>103</v>
      </c>
      <c r="F5" s="775" t="str">
        <f>RAB!F14</f>
        <v>KECAMATAN JATEN</v>
      </c>
      <c r="H5" s="769"/>
      <c r="I5" s="769"/>
    </row>
    <row r="6" spans="2:20" ht="18" customHeight="1">
      <c r="B6" s="773" t="str">
        <f>RAB!D15</f>
        <v>KABUPATEN</v>
      </c>
      <c r="C6" s="488"/>
      <c r="E6" s="774" t="s">
        <v>103</v>
      </c>
      <c r="F6" s="775" t="str">
        <f>RAB!F15</f>
        <v>KARANGANYAR</v>
      </c>
      <c r="H6" s="769"/>
      <c r="I6" s="769"/>
    </row>
    <row r="7" spans="2:20" ht="18" customHeight="1">
      <c r="B7" s="773" t="str">
        <f>RAB!D16</f>
        <v>SUMBER DANA</v>
      </c>
      <c r="C7" s="488"/>
      <c r="E7" s="774" t="s">
        <v>103</v>
      </c>
      <c r="F7" s="775" t="str">
        <f>RAB!F16</f>
        <v>DANA ALOKASI UMUM (DAU)</v>
      </c>
      <c r="G7" s="773"/>
      <c r="H7" s="769"/>
      <c r="I7" s="769"/>
    </row>
    <row r="8" spans="2:20" ht="15" customHeight="1">
      <c r="B8" s="773" t="str">
        <f>RAB!D17</f>
        <v>TAHUN ANGGARAN</v>
      </c>
      <c r="C8" s="488"/>
      <c r="E8" s="774" t="s">
        <v>103</v>
      </c>
      <c r="F8" s="776">
        <f>RAB!F17</f>
        <v>2025</v>
      </c>
      <c r="G8" s="773"/>
      <c r="H8" s="769"/>
      <c r="I8" s="769"/>
    </row>
    <row r="9" spans="2:20" ht="15" customHeight="1">
      <c r="B9" s="774"/>
      <c r="C9" s="777"/>
      <c r="D9" s="778"/>
      <c r="E9" s="505"/>
      <c r="F9" s="773"/>
      <c r="G9" s="774"/>
      <c r="I9" s="779"/>
      <c r="L9" s="780"/>
      <c r="M9" s="486"/>
      <c r="N9" s="780"/>
      <c r="O9" s="780"/>
      <c r="P9" s="780"/>
      <c r="Q9" s="780"/>
      <c r="R9" s="781"/>
      <c r="S9" s="782"/>
      <c r="T9" s="780"/>
    </row>
    <row r="10" spans="2:20" ht="15" customHeight="1" thickBot="1">
      <c r="B10" s="490"/>
      <c r="C10" s="490" t="s">
        <v>732</v>
      </c>
      <c r="D10" s="783"/>
      <c r="E10" s="783"/>
      <c r="F10" s="783"/>
      <c r="G10" s="783"/>
      <c r="H10" s="783"/>
      <c r="I10" s="783"/>
    </row>
    <row r="11" spans="2:20" ht="15" customHeight="1">
      <c r="B11" s="784"/>
      <c r="C11" s="785"/>
      <c r="D11" s="786"/>
      <c r="E11" s="786"/>
      <c r="F11" s="787"/>
      <c r="G11" s="788"/>
      <c r="H11" s="785"/>
      <c r="I11" s="787"/>
      <c r="J11" s="789"/>
    </row>
    <row r="12" spans="2:20" ht="15" customHeight="1">
      <c r="B12" s="790" t="s">
        <v>40</v>
      </c>
      <c r="C12" s="791"/>
      <c r="D12" s="769"/>
      <c r="E12" s="769" t="s">
        <v>179</v>
      </c>
      <c r="F12" s="792"/>
      <c r="G12" s="793" t="s">
        <v>41</v>
      </c>
      <c r="H12" s="791"/>
      <c r="I12" s="794" t="s">
        <v>42</v>
      </c>
      <c r="J12" s="795" t="s">
        <v>145</v>
      </c>
      <c r="L12" s="796"/>
    </row>
    <row r="13" spans="2:20" ht="15" customHeight="1" thickBot="1">
      <c r="B13" s="797"/>
      <c r="C13" s="798"/>
      <c r="D13" s="799"/>
      <c r="E13" s="799"/>
      <c r="F13" s="800"/>
      <c r="G13" s="801"/>
      <c r="H13" s="798"/>
      <c r="I13" s="800"/>
      <c r="J13" s="802"/>
      <c r="L13" s="803"/>
      <c r="M13" s="486"/>
      <c r="N13" s="803"/>
      <c r="O13" s="803"/>
      <c r="P13" s="803"/>
      <c r="Q13" s="803"/>
    </row>
    <row r="14" spans="2:20" ht="15" customHeight="1">
      <c r="B14" s="804"/>
      <c r="C14" s="805"/>
      <c r="D14" s="806"/>
      <c r="E14" s="806"/>
      <c r="F14" s="807"/>
      <c r="G14" s="805"/>
      <c r="H14" s="808"/>
      <c r="I14" s="806"/>
      <c r="J14" s="809"/>
      <c r="L14" s="486"/>
      <c r="M14" s="486"/>
      <c r="N14" s="486"/>
      <c r="O14" s="486"/>
      <c r="P14" s="486"/>
      <c r="Q14" s="486"/>
      <c r="R14" s="810" t="s">
        <v>16</v>
      </c>
      <c r="S14" s="811" t="s">
        <v>17</v>
      </c>
      <c r="T14" s="487" t="s">
        <v>18</v>
      </c>
    </row>
    <row r="15" spans="2:20" ht="15" customHeight="1">
      <c r="B15" s="812">
        <v>1</v>
      </c>
      <c r="C15" s="813"/>
      <c r="D15" s="814" t="s">
        <v>24</v>
      </c>
      <c r="E15" s="815"/>
      <c r="F15" s="816"/>
      <c r="G15" s="817" t="s">
        <v>66</v>
      </c>
      <c r="H15" s="818"/>
      <c r="I15" s="819">
        <v>92000</v>
      </c>
      <c r="J15" s="820"/>
      <c r="L15" s="796"/>
      <c r="M15" s="780"/>
      <c r="N15" s="780"/>
      <c r="O15" s="780"/>
      <c r="P15" s="780"/>
      <c r="Q15" s="780"/>
      <c r="R15" s="781" t="e">
        <f>#REF!</f>
        <v>#REF!</v>
      </c>
      <c r="S15" s="782" t="e">
        <f>#REF!</f>
        <v>#REF!</v>
      </c>
      <c r="T15" s="780" t="e">
        <f>#REF!</f>
        <v>#REF!</v>
      </c>
    </row>
    <row r="16" spans="2:20" ht="15" customHeight="1">
      <c r="B16" s="812">
        <f t="shared" ref="B16:B27" si="0">B15+1</f>
        <v>2</v>
      </c>
      <c r="C16" s="813"/>
      <c r="D16" s="814" t="s">
        <v>1</v>
      </c>
      <c r="E16" s="815"/>
      <c r="F16" s="816"/>
      <c r="G16" s="817" t="s">
        <v>66</v>
      </c>
      <c r="H16" s="818"/>
      <c r="I16" s="819">
        <v>104000</v>
      </c>
      <c r="J16" s="820"/>
      <c r="L16" s="796"/>
      <c r="M16" s="780"/>
      <c r="N16" s="780"/>
      <c r="O16" s="780"/>
      <c r="P16" s="780"/>
      <c r="Q16" s="780"/>
      <c r="R16" s="781" t="e">
        <f>#REF!</f>
        <v>#REF!</v>
      </c>
      <c r="S16" s="782" t="e">
        <f>#REF!</f>
        <v>#REF!</v>
      </c>
      <c r="T16" s="780" t="e">
        <f>#REF!</f>
        <v>#REF!</v>
      </c>
    </row>
    <row r="17" spans="2:20" ht="15" customHeight="1">
      <c r="B17" s="812">
        <f t="shared" si="0"/>
        <v>3</v>
      </c>
      <c r="C17" s="813"/>
      <c r="D17" s="814" t="s">
        <v>2</v>
      </c>
      <c r="E17" s="815"/>
      <c r="F17" s="816"/>
      <c r="G17" s="817" t="s">
        <v>66</v>
      </c>
      <c r="H17" s="818"/>
      <c r="I17" s="819">
        <v>104000</v>
      </c>
      <c r="J17" s="820"/>
      <c r="L17" s="796"/>
      <c r="M17" s="780"/>
      <c r="N17" s="780"/>
      <c r="O17" s="780"/>
      <c r="P17" s="780"/>
      <c r="Q17" s="780"/>
      <c r="R17" s="781" t="e">
        <f>#REF!</f>
        <v>#REF!</v>
      </c>
      <c r="S17" s="782" t="e">
        <f>#REF!</f>
        <v>#REF!</v>
      </c>
      <c r="T17" s="780" t="e">
        <f>#REF!</f>
        <v>#REF!</v>
      </c>
    </row>
    <row r="18" spans="2:20" ht="15" customHeight="1">
      <c r="B18" s="812">
        <f t="shared" si="0"/>
        <v>4</v>
      </c>
      <c r="C18" s="813"/>
      <c r="D18" s="814" t="s">
        <v>3</v>
      </c>
      <c r="E18" s="815"/>
      <c r="F18" s="816"/>
      <c r="G18" s="817" t="s">
        <v>66</v>
      </c>
      <c r="H18" s="818"/>
      <c r="I18" s="819">
        <v>104000</v>
      </c>
      <c r="J18" s="820"/>
      <c r="L18" s="796"/>
      <c r="M18" s="780"/>
      <c r="N18" s="780"/>
      <c r="O18" s="780"/>
      <c r="P18" s="780"/>
      <c r="Q18" s="780"/>
      <c r="R18" s="781" t="e">
        <f>#REF!</f>
        <v>#REF!</v>
      </c>
      <c r="S18" s="782" t="e">
        <f>#REF!</f>
        <v>#REF!</v>
      </c>
      <c r="T18" s="780" t="e">
        <f>#REF!</f>
        <v>#REF!</v>
      </c>
    </row>
    <row r="19" spans="2:20" ht="15" customHeight="1">
      <c r="B19" s="812">
        <f t="shared" si="0"/>
        <v>5</v>
      </c>
      <c r="C19" s="813"/>
      <c r="D19" s="814" t="s">
        <v>4</v>
      </c>
      <c r="E19" s="815"/>
      <c r="F19" s="816"/>
      <c r="G19" s="817" t="s">
        <v>66</v>
      </c>
      <c r="H19" s="818"/>
      <c r="I19" s="819">
        <v>104000</v>
      </c>
      <c r="J19" s="820"/>
      <c r="L19" s="796"/>
      <c r="M19" s="780"/>
      <c r="N19" s="780"/>
      <c r="O19" s="780"/>
      <c r="P19" s="780"/>
      <c r="Q19" s="780"/>
      <c r="R19" s="781" t="e">
        <f>#REF!</f>
        <v>#REF!</v>
      </c>
      <c r="S19" s="782" t="e">
        <f>#REF!</f>
        <v>#REF!</v>
      </c>
      <c r="T19" s="780" t="e">
        <f>#REF!</f>
        <v>#REF!</v>
      </c>
    </row>
    <row r="20" spans="2:20" ht="15" customHeight="1">
      <c r="B20" s="812">
        <f t="shared" si="0"/>
        <v>6</v>
      </c>
      <c r="C20" s="813"/>
      <c r="D20" s="814" t="s">
        <v>65</v>
      </c>
      <c r="E20" s="815"/>
      <c r="F20" s="816"/>
      <c r="G20" s="817" t="s">
        <v>66</v>
      </c>
      <c r="H20" s="818"/>
      <c r="I20" s="819">
        <v>98000</v>
      </c>
      <c r="J20" s="820"/>
      <c r="L20" s="796"/>
      <c r="M20" s="780"/>
      <c r="N20" s="780"/>
      <c r="O20" s="780"/>
      <c r="P20" s="780"/>
      <c r="Q20" s="780"/>
      <c r="R20" s="781" t="e">
        <f>#REF!</f>
        <v>#REF!</v>
      </c>
      <c r="S20" s="782" t="e">
        <f>#REF!</f>
        <v>#REF!</v>
      </c>
      <c r="T20" s="780" t="e">
        <f>#REF!</f>
        <v>#REF!</v>
      </c>
    </row>
    <row r="21" spans="2:20" ht="15" customHeight="1">
      <c r="B21" s="812">
        <f t="shared" si="0"/>
        <v>7</v>
      </c>
      <c r="C21" s="813"/>
      <c r="D21" s="814" t="s">
        <v>125</v>
      </c>
      <c r="E21" s="815"/>
      <c r="F21" s="816"/>
      <c r="G21" s="817" t="s">
        <v>66</v>
      </c>
      <c r="H21" s="818"/>
      <c r="I21" s="819">
        <v>95000</v>
      </c>
      <c r="J21" s="820"/>
      <c r="L21" s="796"/>
      <c r="M21" s="780"/>
      <c r="N21" s="780"/>
      <c r="O21" s="780"/>
      <c r="P21" s="780"/>
      <c r="Q21" s="780"/>
      <c r="R21" s="781" t="e">
        <f>#REF!</f>
        <v>#REF!</v>
      </c>
      <c r="S21" s="782" t="e">
        <f>#REF!</f>
        <v>#REF!</v>
      </c>
      <c r="T21" s="780" t="e">
        <f>#REF!</f>
        <v>#REF!</v>
      </c>
    </row>
    <row r="22" spans="2:20" ht="15" customHeight="1">
      <c r="B22" s="812">
        <f t="shared" si="0"/>
        <v>8</v>
      </c>
      <c r="C22" s="813"/>
      <c r="D22" s="814" t="s">
        <v>34</v>
      </c>
      <c r="E22" s="815"/>
      <c r="F22" s="816"/>
      <c r="G22" s="817" t="s">
        <v>66</v>
      </c>
      <c r="H22" s="818"/>
      <c r="I22" s="819">
        <v>95000</v>
      </c>
      <c r="J22" s="820"/>
      <c r="L22" s="796"/>
      <c r="M22" s="780"/>
      <c r="N22" s="780"/>
      <c r="O22" s="780"/>
      <c r="P22" s="780"/>
      <c r="Q22" s="780"/>
      <c r="R22" s="781" t="e">
        <f>#REF!</f>
        <v>#REF!</v>
      </c>
      <c r="S22" s="782" t="e">
        <f>#REF!</f>
        <v>#REF!</v>
      </c>
      <c r="T22" s="780" t="e">
        <f>#REF!</f>
        <v>#REF!</v>
      </c>
    </row>
    <row r="23" spans="2:20" ht="15" customHeight="1">
      <c r="B23" s="812">
        <f t="shared" si="0"/>
        <v>9</v>
      </c>
      <c r="C23" s="813"/>
      <c r="D23" s="814" t="s">
        <v>126</v>
      </c>
      <c r="E23" s="815"/>
      <c r="F23" s="816"/>
      <c r="G23" s="817" t="s">
        <v>66</v>
      </c>
      <c r="H23" s="818"/>
      <c r="I23" s="819">
        <v>95000</v>
      </c>
      <c r="J23" s="820"/>
      <c r="L23" s="796"/>
      <c r="M23" s="780"/>
      <c r="N23" s="780"/>
      <c r="O23" s="780"/>
      <c r="P23" s="780"/>
      <c r="Q23" s="780"/>
      <c r="R23" s="781" t="e">
        <f>#REF!</f>
        <v>#REF!</v>
      </c>
      <c r="S23" s="782" t="e">
        <f>#REF!</f>
        <v>#REF!</v>
      </c>
      <c r="T23" s="780" t="e">
        <f>#REF!</f>
        <v>#REF!</v>
      </c>
    </row>
    <row r="24" spans="2:20" ht="15" customHeight="1">
      <c r="B24" s="812">
        <f t="shared" si="0"/>
        <v>10</v>
      </c>
      <c r="C24" s="813"/>
      <c r="D24" s="814" t="s">
        <v>98</v>
      </c>
      <c r="E24" s="815"/>
      <c r="F24" s="816"/>
      <c r="G24" s="817" t="s">
        <v>66</v>
      </c>
      <c r="H24" s="818"/>
      <c r="I24" s="819">
        <v>98000</v>
      </c>
      <c r="J24" s="820"/>
      <c r="L24" s="796"/>
      <c r="M24" s="780"/>
      <c r="N24" s="780"/>
      <c r="O24" s="780"/>
      <c r="P24" s="780"/>
      <c r="Q24" s="780"/>
      <c r="R24" s="781" t="e">
        <f>#REF!</f>
        <v>#REF!</v>
      </c>
      <c r="S24" s="782" t="e">
        <f>#REF!</f>
        <v>#REF!</v>
      </c>
      <c r="T24" s="780" t="e">
        <f>#REF!</f>
        <v>#REF!</v>
      </c>
    </row>
    <row r="25" spans="2:20" ht="15" customHeight="1">
      <c r="B25" s="812">
        <f t="shared" si="0"/>
        <v>11</v>
      </c>
      <c r="C25" s="813"/>
      <c r="D25" s="814" t="s">
        <v>33</v>
      </c>
      <c r="E25" s="815"/>
      <c r="F25" s="816"/>
      <c r="G25" s="817" t="s">
        <v>66</v>
      </c>
      <c r="H25" s="818"/>
      <c r="I25" s="819">
        <v>95000</v>
      </c>
      <c r="J25" s="820"/>
      <c r="L25" s="796"/>
      <c r="M25" s="780"/>
      <c r="N25" s="780"/>
      <c r="O25" s="780"/>
      <c r="P25" s="780"/>
      <c r="Q25" s="780"/>
      <c r="R25" s="781" t="e">
        <f>#REF!</f>
        <v>#REF!</v>
      </c>
      <c r="S25" s="782" t="e">
        <f>#REF!</f>
        <v>#REF!</v>
      </c>
      <c r="T25" s="780" t="e">
        <f>#REF!</f>
        <v>#REF!</v>
      </c>
    </row>
    <row r="26" spans="2:20" ht="15" customHeight="1">
      <c r="B26" s="812">
        <f t="shared" si="0"/>
        <v>12</v>
      </c>
      <c r="C26" s="813"/>
      <c r="D26" s="814" t="s">
        <v>5</v>
      </c>
      <c r="E26" s="815"/>
      <c r="F26" s="816"/>
      <c r="G26" s="817" t="s">
        <v>66</v>
      </c>
      <c r="H26" s="818"/>
      <c r="I26" s="819">
        <v>95000</v>
      </c>
      <c r="J26" s="820"/>
      <c r="L26" s="796"/>
      <c r="M26" s="780"/>
      <c r="N26" s="780"/>
      <c r="O26" s="780"/>
      <c r="P26" s="780"/>
      <c r="Q26" s="780"/>
      <c r="R26" s="781" t="e">
        <f>#REF!</f>
        <v>#REF!</v>
      </c>
      <c r="S26" s="782" t="e">
        <f>#REF!</f>
        <v>#REF!</v>
      </c>
      <c r="T26" s="780" t="e">
        <f>#REF!</f>
        <v>#REF!</v>
      </c>
    </row>
    <row r="27" spans="2:20" ht="15" customHeight="1" thickBot="1">
      <c r="B27" s="821">
        <f t="shared" si="0"/>
        <v>13</v>
      </c>
      <c r="C27" s="822"/>
      <c r="D27" s="823" t="s">
        <v>465</v>
      </c>
      <c r="E27" s="824"/>
      <c r="F27" s="825"/>
      <c r="G27" s="826" t="s">
        <v>66</v>
      </c>
      <c r="H27" s="827"/>
      <c r="I27" s="828">
        <v>95000</v>
      </c>
      <c r="J27" s="829"/>
      <c r="L27" s="796"/>
      <c r="M27" s="780"/>
      <c r="N27" s="780"/>
      <c r="O27" s="780"/>
      <c r="P27" s="780"/>
      <c r="Q27" s="780"/>
      <c r="R27" s="781" t="e">
        <f>#REF!</f>
        <v>#REF!</v>
      </c>
      <c r="S27" s="782" t="e">
        <f>#REF!</f>
        <v>#REF!</v>
      </c>
      <c r="T27" s="780" t="e">
        <f>#REF!</f>
        <v>#REF!</v>
      </c>
    </row>
    <row r="28" spans="2:20" ht="15" customHeight="1">
      <c r="B28" s="774"/>
      <c r="C28" s="777"/>
      <c r="D28" s="778"/>
      <c r="E28" s="505"/>
      <c r="F28" s="773"/>
      <c r="G28" s="774"/>
      <c r="I28" s="830"/>
      <c r="L28" s="796"/>
      <c r="M28" s="486"/>
      <c r="N28" s="780"/>
      <c r="O28" s="780"/>
      <c r="P28" s="780"/>
      <c r="Q28" s="780"/>
      <c r="R28" s="781"/>
      <c r="S28" s="782"/>
      <c r="T28" s="780"/>
    </row>
    <row r="29" spans="2:20" ht="15" customHeight="1" thickBot="1">
      <c r="B29" s="490"/>
      <c r="C29" s="490" t="s">
        <v>733</v>
      </c>
      <c r="D29" s="773"/>
      <c r="E29" s="773"/>
      <c r="F29" s="773"/>
      <c r="G29" s="831"/>
      <c r="I29" s="832"/>
      <c r="L29" s="796"/>
      <c r="M29" s="486"/>
      <c r="N29" s="780"/>
      <c r="O29" s="780"/>
      <c r="P29" s="780"/>
      <c r="Q29" s="780"/>
      <c r="R29" s="781"/>
      <c r="S29" s="782"/>
      <c r="T29" s="780"/>
    </row>
    <row r="30" spans="2:20" ht="15" customHeight="1">
      <c r="B30" s="833"/>
      <c r="C30" s="834"/>
      <c r="D30" s="835"/>
      <c r="E30" s="835"/>
      <c r="F30" s="836"/>
      <c r="G30" s="837"/>
      <c r="H30" s="834"/>
      <c r="I30" s="838"/>
      <c r="J30" s="839"/>
      <c r="L30" s="796"/>
      <c r="M30" s="486"/>
      <c r="N30" s="780"/>
      <c r="O30" s="780"/>
      <c r="P30" s="780"/>
      <c r="Q30" s="780"/>
      <c r="R30" s="781"/>
      <c r="S30" s="782"/>
      <c r="T30" s="780"/>
    </row>
    <row r="31" spans="2:20" ht="15" customHeight="1">
      <c r="B31" s="840" t="s">
        <v>40</v>
      </c>
      <c r="C31" s="791"/>
      <c r="D31" s="769"/>
      <c r="E31" s="769" t="s">
        <v>272</v>
      </c>
      <c r="F31" s="792"/>
      <c r="G31" s="793" t="s">
        <v>41</v>
      </c>
      <c r="H31" s="791"/>
      <c r="I31" s="794" t="s">
        <v>42</v>
      </c>
      <c r="J31" s="841" t="s">
        <v>145</v>
      </c>
      <c r="L31" s="796"/>
      <c r="M31" s="486"/>
      <c r="N31" s="780"/>
      <c r="O31" s="780"/>
      <c r="P31" s="780"/>
      <c r="Q31" s="780"/>
      <c r="R31" s="781"/>
      <c r="S31" s="782"/>
      <c r="T31" s="780"/>
    </row>
    <row r="32" spans="2:20" ht="15" customHeight="1" thickBot="1">
      <c r="B32" s="842"/>
      <c r="C32" s="798"/>
      <c r="D32" s="799"/>
      <c r="E32" s="799"/>
      <c r="F32" s="800"/>
      <c r="G32" s="801"/>
      <c r="H32" s="843"/>
      <c r="I32" s="844"/>
      <c r="J32" s="845"/>
      <c r="L32" s="796"/>
      <c r="M32" s="486"/>
      <c r="N32" s="780"/>
      <c r="O32" s="780"/>
      <c r="P32" s="780"/>
      <c r="Q32" s="780"/>
      <c r="R32" s="781"/>
      <c r="S32" s="782"/>
      <c r="T32" s="780"/>
    </row>
    <row r="33" spans="2:20" ht="15" customHeight="1">
      <c r="B33" s="846"/>
      <c r="C33" s="805"/>
      <c r="D33" s="806"/>
      <c r="E33" s="806"/>
      <c r="F33" s="806"/>
      <c r="G33" s="805"/>
      <c r="H33" s="805"/>
      <c r="I33" s="806"/>
      <c r="J33" s="847"/>
      <c r="L33" s="796"/>
      <c r="M33" s="486"/>
      <c r="N33" s="848"/>
      <c r="O33" s="848"/>
      <c r="P33" s="848"/>
      <c r="Q33" s="848"/>
      <c r="R33" s="810" t="str">
        <f>R14</f>
        <v>WILAYAH 1</v>
      </c>
      <c r="S33" s="811" t="str">
        <f>S14</f>
        <v>WILAYAH 2</v>
      </c>
      <c r="T33" s="487" t="str">
        <f>T14</f>
        <v>WILAYAH 3</v>
      </c>
    </row>
    <row r="34" spans="2:20" ht="15" customHeight="1">
      <c r="B34" s="849">
        <v>1</v>
      </c>
      <c r="C34" s="813"/>
      <c r="D34" s="850" t="s">
        <v>80</v>
      </c>
      <c r="E34" s="815"/>
      <c r="F34" s="851"/>
      <c r="G34" s="852" t="s">
        <v>141</v>
      </c>
      <c r="H34" s="853"/>
      <c r="I34" s="819">
        <v>48</v>
      </c>
      <c r="J34" s="854"/>
      <c r="L34" s="796"/>
      <c r="M34" s="780"/>
      <c r="N34" s="780"/>
      <c r="O34" s="780"/>
      <c r="P34" s="780"/>
      <c r="Q34" s="780"/>
      <c r="R34" s="781" t="e">
        <f>#REF!</f>
        <v>#REF!</v>
      </c>
      <c r="S34" s="782" t="e">
        <f>#REF!</f>
        <v>#REF!</v>
      </c>
      <c r="T34" s="780" t="e">
        <f>#REF!</f>
        <v>#REF!</v>
      </c>
    </row>
    <row r="35" spans="2:20" ht="15" customHeight="1">
      <c r="B35" s="849">
        <f t="shared" ref="B35:B110" si="1">B34+1</f>
        <v>2</v>
      </c>
      <c r="C35" s="855"/>
      <c r="D35" s="856" t="s">
        <v>21</v>
      </c>
      <c r="E35" s="815"/>
      <c r="F35" s="857"/>
      <c r="G35" s="852" t="s">
        <v>44</v>
      </c>
      <c r="H35" s="858"/>
      <c r="I35" s="819">
        <v>14600</v>
      </c>
      <c r="J35" s="854"/>
      <c r="L35" s="796"/>
      <c r="M35" s="780"/>
      <c r="N35" s="780"/>
      <c r="O35" s="780"/>
      <c r="P35" s="780"/>
      <c r="Q35" s="780"/>
      <c r="R35" s="781" t="e">
        <f>#REF!</f>
        <v>#REF!</v>
      </c>
      <c r="S35" s="782" t="e">
        <f>#REF!</f>
        <v>#REF!</v>
      </c>
      <c r="T35" s="780" t="e">
        <f>#REF!</f>
        <v>#REF!</v>
      </c>
    </row>
    <row r="36" spans="2:20" ht="15" customHeight="1">
      <c r="B36" s="849">
        <f t="shared" si="1"/>
        <v>3</v>
      </c>
      <c r="C36" s="813"/>
      <c r="D36" s="856" t="s">
        <v>230</v>
      </c>
      <c r="E36" s="815"/>
      <c r="F36" s="857"/>
      <c r="G36" s="852" t="s">
        <v>32</v>
      </c>
      <c r="H36" s="853"/>
      <c r="I36" s="819">
        <v>9400</v>
      </c>
      <c r="J36" s="854"/>
      <c r="L36" s="796"/>
      <c r="M36" s="780"/>
      <c r="N36" s="780"/>
      <c r="O36" s="780"/>
      <c r="P36" s="780"/>
      <c r="Q36" s="780"/>
      <c r="R36" s="781" t="e">
        <f>#REF!</f>
        <v>#REF!</v>
      </c>
      <c r="S36" s="782" t="e">
        <f>#REF!</f>
        <v>#REF!</v>
      </c>
      <c r="T36" s="780" t="e">
        <f>#REF!</f>
        <v>#REF!</v>
      </c>
    </row>
    <row r="37" spans="2:20" ht="15" customHeight="1">
      <c r="B37" s="849">
        <f t="shared" si="1"/>
        <v>4</v>
      </c>
      <c r="C37" s="813"/>
      <c r="D37" s="856" t="s">
        <v>644</v>
      </c>
      <c r="E37" s="815"/>
      <c r="F37" s="857"/>
      <c r="G37" s="852" t="s">
        <v>53</v>
      </c>
      <c r="H37" s="853"/>
      <c r="I37" s="819">
        <v>350000</v>
      </c>
      <c r="J37" s="854"/>
      <c r="L37" s="796"/>
      <c r="M37" s="780"/>
      <c r="N37" s="780"/>
      <c r="O37" s="780"/>
      <c r="P37" s="780"/>
      <c r="Q37" s="780"/>
      <c r="R37" s="781"/>
      <c r="S37" s="782"/>
      <c r="T37" s="780"/>
    </row>
    <row r="38" spans="2:20" ht="15" customHeight="1">
      <c r="B38" s="849">
        <f t="shared" si="1"/>
        <v>5</v>
      </c>
      <c r="C38" s="813"/>
      <c r="D38" s="856" t="s">
        <v>645</v>
      </c>
      <c r="E38" s="815"/>
      <c r="F38" s="857"/>
      <c r="G38" s="852" t="s">
        <v>53</v>
      </c>
      <c r="H38" s="853"/>
      <c r="I38" s="819">
        <v>860000</v>
      </c>
      <c r="J38" s="854"/>
      <c r="L38" s="796"/>
      <c r="M38" s="780"/>
      <c r="N38" s="780"/>
      <c r="O38" s="780"/>
      <c r="P38" s="780"/>
      <c r="Q38" s="780"/>
      <c r="R38" s="781"/>
      <c r="S38" s="782"/>
      <c r="T38" s="780"/>
    </row>
    <row r="39" spans="2:20" ht="15" customHeight="1">
      <c r="B39" s="849">
        <f t="shared" si="1"/>
        <v>6</v>
      </c>
      <c r="C39" s="813"/>
      <c r="D39" s="856" t="s">
        <v>193</v>
      </c>
      <c r="E39" s="815"/>
      <c r="F39" s="857"/>
      <c r="G39" s="852" t="s">
        <v>53</v>
      </c>
      <c r="H39" s="853"/>
      <c r="I39" s="819">
        <v>5700</v>
      </c>
      <c r="J39" s="854"/>
      <c r="L39" s="796"/>
      <c r="M39" s="780"/>
      <c r="N39" s="780"/>
      <c r="O39" s="780"/>
      <c r="P39" s="780"/>
      <c r="Q39" s="780"/>
      <c r="R39" s="781"/>
      <c r="S39" s="782"/>
      <c r="T39" s="780"/>
    </row>
    <row r="40" spans="2:20" ht="15" customHeight="1">
      <c r="B40" s="849">
        <f t="shared" si="1"/>
        <v>7</v>
      </c>
      <c r="C40" s="813"/>
      <c r="D40" s="856" t="s">
        <v>6</v>
      </c>
      <c r="E40" s="815"/>
      <c r="F40" s="857"/>
      <c r="G40" s="817" t="s">
        <v>52</v>
      </c>
      <c r="H40" s="853"/>
      <c r="I40" s="819">
        <v>11500</v>
      </c>
      <c r="J40" s="854"/>
      <c r="L40" s="796"/>
      <c r="M40" s="780"/>
      <c r="N40" s="780"/>
      <c r="O40" s="780"/>
      <c r="P40" s="780"/>
      <c r="Q40" s="780"/>
      <c r="R40" s="781" t="e">
        <f>#REF!</f>
        <v>#REF!</v>
      </c>
      <c r="S40" s="782" t="e">
        <f>#REF!</f>
        <v>#REF!</v>
      </c>
      <c r="T40" s="780" t="e">
        <f>#REF!</f>
        <v>#REF!</v>
      </c>
    </row>
    <row r="41" spans="2:20" ht="15" customHeight="1">
      <c r="B41" s="849">
        <f t="shared" si="1"/>
        <v>8</v>
      </c>
      <c r="C41" s="813"/>
      <c r="D41" s="850" t="s">
        <v>8</v>
      </c>
      <c r="E41" s="815"/>
      <c r="F41" s="815"/>
      <c r="G41" s="817" t="s">
        <v>45</v>
      </c>
      <c r="H41" s="853"/>
      <c r="I41" s="819">
        <v>800</v>
      </c>
      <c r="J41" s="854"/>
      <c r="L41" s="796"/>
      <c r="M41" s="780"/>
      <c r="N41" s="780"/>
      <c r="O41" s="780"/>
      <c r="P41" s="780"/>
      <c r="Q41" s="780"/>
      <c r="R41" s="781" t="e">
        <f>#REF!</f>
        <v>#REF!</v>
      </c>
      <c r="S41" s="782" t="e">
        <f>#REF!</f>
        <v>#REF!</v>
      </c>
      <c r="T41" s="780" t="e">
        <f>#REF!</f>
        <v>#REF!</v>
      </c>
    </row>
    <row r="42" spans="2:20" ht="15" customHeight="1">
      <c r="B42" s="849">
        <f t="shared" si="1"/>
        <v>9</v>
      </c>
      <c r="C42" s="813"/>
      <c r="D42" s="850" t="s">
        <v>545</v>
      </c>
      <c r="E42" s="815"/>
      <c r="F42" s="815"/>
      <c r="G42" s="852" t="s">
        <v>44</v>
      </c>
      <c r="H42" s="853"/>
      <c r="I42" s="819">
        <v>165000</v>
      </c>
      <c r="J42" s="854"/>
      <c r="L42" s="796"/>
      <c r="M42" s="780"/>
      <c r="N42" s="780"/>
      <c r="O42" s="780"/>
      <c r="P42" s="780"/>
      <c r="Q42" s="780"/>
      <c r="R42" s="781"/>
      <c r="S42" s="782"/>
      <c r="T42" s="780"/>
    </row>
    <row r="43" spans="2:20" ht="15" customHeight="1">
      <c r="B43" s="849">
        <f t="shared" si="1"/>
        <v>10</v>
      </c>
      <c r="C43" s="813"/>
      <c r="D43" s="850" t="s">
        <v>549</v>
      </c>
      <c r="E43" s="815"/>
      <c r="F43" s="815"/>
      <c r="G43" s="852" t="s">
        <v>44</v>
      </c>
      <c r="H43" s="853"/>
      <c r="I43" s="819">
        <v>95000</v>
      </c>
      <c r="J43" s="854"/>
      <c r="L43" s="796"/>
      <c r="M43" s="780"/>
      <c r="N43" s="780"/>
      <c r="O43" s="780"/>
      <c r="P43" s="780"/>
      <c r="Q43" s="780"/>
      <c r="R43" s="781"/>
      <c r="S43" s="782"/>
      <c r="T43" s="780"/>
    </row>
    <row r="44" spans="2:20" ht="15" customHeight="1">
      <c r="B44" s="849">
        <f t="shared" si="1"/>
        <v>11</v>
      </c>
      <c r="C44" s="813"/>
      <c r="D44" s="850" t="s">
        <v>7</v>
      </c>
      <c r="E44" s="815"/>
      <c r="F44" s="815"/>
      <c r="G44" s="852" t="s">
        <v>43</v>
      </c>
      <c r="H44" s="853"/>
      <c r="I44" s="819">
        <v>280000</v>
      </c>
      <c r="J44" s="854"/>
      <c r="L44" s="796"/>
      <c r="M44" s="780"/>
      <c r="N44" s="780"/>
      <c r="O44" s="780"/>
      <c r="P44" s="780"/>
      <c r="Q44" s="780"/>
      <c r="R44" s="781" t="e">
        <f>#REF!</f>
        <v>#REF!</v>
      </c>
      <c r="S44" s="782" t="e">
        <f>#REF!</f>
        <v>#REF!</v>
      </c>
      <c r="T44" s="780" t="e">
        <f>#REF!</f>
        <v>#REF!</v>
      </c>
    </row>
    <row r="45" spans="2:20" ht="15" customHeight="1">
      <c r="B45" s="849">
        <f t="shared" si="1"/>
        <v>12</v>
      </c>
      <c r="C45" s="813"/>
      <c r="D45" s="850" t="s">
        <v>228</v>
      </c>
      <c r="E45" s="815"/>
      <c r="F45" s="851"/>
      <c r="G45" s="852" t="s">
        <v>43</v>
      </c>
      <c r="H45" s="853"/>
      <c r="I45" s="819">
        <v>280000</v>
      </c>
      <c r="J45" s="854"/>
      <c r="L45" s="796"/>
      <c r="M45" s="780"/>
      <c r="N45" s="780"/>
      <c r="O45" s="780"/>
      <c r="P45" s="780"/>
      <c r="Q45" s="780"/>
      <c r="R45" s="781" t="e">
        <f>#REF!</f>
        <v>#REF!</v>
      </c>
      <c r="S45" s="782" t="e">
        <f>#REF!</f>
        <v>#REF!</v>
      </c>
      <c r="T45" s="780" t="e">
        <f>#REF!</f>
        <v>#REF!</v>
      </c>
    </row>
    <row r="46" spans="2:20" ht="15" customHeight="1">
      <c r="B46" s="849">
        <f t="shared" si="1"/>
        <v>13</v>
      </c>
      <c r="C46" s="813"/>
      <c r="D46" s="850" t="s">
        <v>229</v>
      </c>
      <c r="E46" s="815"/>
      <c r="F46" s="851"/>
      <c r="G46" s="852" t="s">
        <v>43</v>
      </c>
      <c r="H46" s="853"/>
      <c r="I46" s="819">
        <v>270000</v>
      </c>
      <c r="J46" s="854"/>
      <c r="L46" s="796"/>
      <c r="M46" s="780"/>
      <c r="N46" s="780"/>
      <c r="O46" s="780"/>
      <c r="P46" s="780"/>
      <c r="Q46" s="780"/>
      <c r="R46" s="781" t="e">
        <f>#REF!</f>
        <v>#REF!</v>
      </c>
      <c r="S46" s="782" t="e">
        <f>#REF!</f>
        <v>#REF!</v>
      </c>
      <c r="T46" s="780" t="e">
        <f>#REF!</f>
        <v>#REF!</v>
      </c>
    </row>
    <row r="47" spans="2:20" ht="15" customHeight="1">
      <c r="B47" s="849">
        <f t="shared" si="1"/>
        <v>14</v>
      </c>
      <c r="C47" s="813"/>
      <c r="D47" s="856" t="s">
        <v>181</v>
      </c>
      <c r="E47" s="815"/>
      <c r="F47" s="857"/>
      <c r="G47" s="852" t="s">
        <v>73</v>
      </c>
      <c r="H47" s="859"/>
      <c r="I47" s="819">
        <v>13250</v>
      </c>
      <c r="J47" s="854"/>
      <c r="L47" s="796"/>
      <c r="M47" s="780"/>
      <c r="N47" s="780"/>
      <c r="O47" s="780"/>
      <c r="P47" s="780"/>
      <c r="Q47" s="780"/>
      <c r="R47" s="781" t="e">
        <f>#REF!</f>
        <v>#REF!</v>
      </c>
      <c r="S47" s="782" t="e">
        <f>#REF!</f>
        <v>#REF!</v>
      </c>
      <c r="T47" s="780" t="e">
        <f>#REF!</f>
        <v>#REF!</v>
      </c>
    </row>
    <row r="48" spans="2:20" ht="15" customHeight="1">
      <c r="B48" s="849">
        <f t="shared" si="1"/>
        <v>15</v>
      </c>
      <c r="C48" s="813"/>
      <c r="D48" s="860" t="s">
        <v>280</v>
      </c>
      <c r="E48" s="815"/>
      <c r="F48" s="857"/>
      <c r="G48" s="817" t="s">
        <v>32</v>
      </c>
      <c r="H48" s="861"/>
      <c r="I48" s="819">
        <v>9700</v>
      </c>
      <c r="J48" s="854"/>
      <c r="L48" s="796"/>
      <c r="M48" s="780"/>
      <c r="N48" s="780"/>
      <c r="O48" s="780"/>
      <c r="P48" s="780"/>
      <c r="Q48" s="780"/>
      <c r="R48" s="781" t="e">
        <f>#REF!</f>
        <v>#REF!</v>
      </c>
      <c r="S48" s="782" t="e">
        <f>#REF!</f>
        <v>#REF!</v>
      </c>
      <c r="T48" s="780" t="e">
        <f>#REF!</f>
        <v>#REF!</v>
      </c>
    </row>
    <row r="49" spans="2:21" ht="15" customHeight="1">
      <c r="B49" s="849">
        <f t="shared" si="1"/>
        <v>16</v>
      </c>
      <c r="C49" s="813"/>
      <c r="D49" s="860" t="s">
        <v>281</v>
      </c>
      <c r="E49" s="815"/>
      <c r="F49" s="857"/>
      <c r="G49" s="817" t="s">
        <v>32</v>
      </c>
      <c r="H49" s="861"/>
      <c r="I49" s="819">
        <v>14600</v>
      </c>
      <c r="J49" s="854"/>
      <c r="L49" s="796"/>
      <c r="M49" s="780"/>
      <c r="N49" s="780"/>
      <c r="O49" s="780"/>
      <c r="P49" s="780"/>
      <c r="Q49" s="780"/>
      <c r="R49" s="781" t="e">
        <f>#REF!</f>
        <v>#REF!</v>
      </c>
      <c r="S49" s="782" t="e">
        <f>#REF!</f>
        <v>#REF!</v>
      </c>
      <c r="T49" s="780" t="e">
        <f>#REF!</f>
        <v>#REF!</v>
      </c>
      <c r="U49" s="780"/>
    </row>
    <row r="50" spans="2:21" ht="15" customHeight="1">
      <c r="B50" s="849">
        <f t="shared" si="1"/>
        <v>17</v>
      </c>
      <c r="C50" s="813"/>
      <c r="D50" s="860" t="s">
        <v>581</v>
      </c>
      <c r="E50" s="815"/>
      <c r="F50" s="857"/>
      <c r="G50" s="817" t="s">
        <v>45</v>
      </c>
      <c r="H50" s="861"/>
      <c r="I50" s="819">
        <v>35000</v>
      </c>
      <c r="J50" s="854"/>
      <c r="L50" s="796"/>
      <c r="M50" s="780"/>
      <c r="N50" s="780"/>
      <c r="O50" s="780"/>
      <c r="P50" s="780"/>
      <c r="Q50" s="780"/>
      <c r="R50" s="781"/>
      <c r="S50" s="782"/>
      <c r="T50" s="780"/>
      <c r="U50" s="780"/>
    </row>
    <row r="51" spans="2:21" ht="15" customHeight="1">
      <c r="B51" s="849">
        <f t="shared" si="1"/>
        <v>18</v>
      </c>
      <c r="C51" s="813"/>
      <c r="D51" s="860" t="s">
        <v>478</v>
      </c>
      <c r="E51" s="815"/>
      <c r="F51" s="857"/>
      <c r="G51" s="817" t="s">
        <v>73</v>
      </c>
      <c r="H51" s="861"/>
      <c r="I51" s="819">
        <v>64300</v>
      </c>
      <c r="J51" s="854"/>
      <c r="L51" s="796"/>
      <c r="M51" s="780"/>
      <c r="N51" s="780"/>
      <c r="O51" s="780"/>
      <c r="P51" s="780"/>
      <c r="Q51" s="780"/>
      <c r="R51" s="781"/>
      <c r="S51" s="782"/>
      <c r="T51" s="780"/>
      <c r="U51" s="780"/>
    </row>
    <row r="52" spans="2:21" ht="15" customHeight="1">
      <c r="B52" s="849">
        <f t="shared" si="1"/>
        <v>19</v>
      </c>
      <c r="C52" s="813"/>
      <c r="D52" s="860" t="s">
        <v>311</v>
      </c>
      <c r="E52" s="815"/>
      <c r="F52" s="857"/>
      <c r="G52" s="817" t="s">
        <v>73</v>
      </c>
      <c r="H52" s="861"/>
      <c r="I52" s="819">
        <v>29100</v>
      </c>
      <c r="J52" s="854"/>
      <c r="L52" s="796"/>
      <c r="M52" s="780"/>
      <c r="N52" s="780"/>
      <c r="O52" s="780"/>
      <c r="P52" s="780"/>
      <c r="Q52" s="780"/>
      <c r="R52" s="781"/>
      <c r="S52" s="782"/>
      <c r="T52" s="780"/>
      <c r="U52" s="780"/>
    </row>
    <row r="53" spans="2:21" ht="15" customHeight="1">
      <c r="B53" s="849">
        <f t="shared" si="1"/>
        <v>20</v>
      </c>
      <c r="C53" s="813"/>
      <c r="D53" s="856" t="s">
        <v>170</v>
      </c>
      <c r="E53" s="815"/>
      <c r="F53" s="857"/>
      <c r="G53" s="852" t="s">
        <v>73</v>
      </c>
      <c r="H53" s="853"/>
      <c r="I53" s="819">
        <v>39000</v>
      </c>
      <c r="J53" s="854"/>
      <c r="L53" s="796"/>
      <c r="M53" s="780"/>
      <c r="N53" s="780"/>
      <c r="O53" s="780"/>
      <c r="P53" s="780"/>
      <c r="Q53" s="780"/>
      <c r="R53" s="781" t="e">
        <f>#REF!</f>
        <v>#REF!</v>
      </c>
      <c r="S53" s="782" t="e">
        <f>#REF!</f>
        <v>#REF!</v>
      </c>
      <c r="T53" s="780" t="e">
        <f>#REF!</f>
        <v>#REF!</v>
      </c>
    </row>
    <row r="54" spans="2:21" ht="15" customHeight="1">
      <c r="B54" s="849">
        <f t="shared" si="1"/>
        <v>21</v>
      </c>
      <c r="C54" s="813"/>
      <c r="D54" s="856" t="s">
        <v>194</v>
      </c>
      <c r="E54" s="815"/>
      <c r="F54" s="857"/>
      <c r="G54" s="852" t="s">
        <v>73</v>
      </c>
      <c r="H54" s="853"/>
      <c r="I54" s="819">
        <v>110000</v>
      </c>
      <c r="J54" s="854"/>
      <c r="L54" s="796"/>
      <c r="M54" s="780"/>
      <c r="N54" s="780"/>
      <c r="O54" s="780"/>
      <c r="P54" s="780"/>
      <c r="Q54" s="780"/>
      <c r="R54" s="781" t="e">
        <f>#REF!</f>
        <v>#REF!</v>
      </c>
      <c r="S54" s="782" t="e">
        <f>#REF!</f>
        <v>#REF!</v>
      </c>
      <c r="T54" s="780" t="e">
        <f>#REF!</f>
        <v>#REF!</v>
      </c>
    </row>
    <row r="55" spans="2:21" ht="15" customHeight="1">
      <c r="B55" s="849">
        <f t="shared" si="1"/>
        <v>22</v>
      </c>
      <c r="C55" s="813"/>
      <c r="D55" s="850" t="s">
        <v>282</v>
      </c>
      <c r="E55" s="815"/>
      <c r="F55" s="857"/>
      <c r="G55" s="817" t="s">
        <v>45</v>
      </c>
      <c r="H55" s="853"/>
      <c r="I55" s="819">
        <v>1878000</v>
      </c>
      <c r="J55" s="854"/>
      <c r="L55" s="796"/>
      <c r="M55" s="780"/>
      <c r="N55" s="780"/>
      <c r="O55" s="780"/>
      <c r="P55" s="780"/>
      <c r="Q55" s="780"/>
      <c r="R55" s="781" t="e">
        <f>#REF!</f>
        <v>#REF!</v>
      </c>
      <c r="S55" s="782" t="e">
        <f>#REF!</f>
        <v>#REF!</v>
      </c>
      <c r="T55" s="780" t="e">
        <f>#REF!</f>
        <v>#REF!</v>
      </c>
    </row>
    <row r="56" spans="2:21" ht="15" customHeight="1">
      <c r="B56" s="849">
        <f t="shared" si="1"/>
        <v>23</v>
      </c>
      <c r="C56" s="813"/>
      <c r="D56" s="850" t="s">
        <v>432</v>
      </c>
      <c r="E56" s="815"/>
      <c r="F56" s="857"/>
      <c r="G56" s="817" t="s">
        <v>45</v>
      </c>
      <c r="H56" s="853"/>
      <c r="I56" s="819">
        <v>250000</v>
      </c>
      <c r="J56" s="854"/>
      <c r="L56" s="796"/>
      <c r="M56" s="780"/>
      <c r="N56" s="780"/>
      <c r="O56" s="780"/>
      <c r="P56" s="780"/>
      <c r="Q56" s="780"/>
      <c r="R56" s="781" t="e">
        <f>#REF!</f>
        <v>#REF!</v>
      </c>
      <c r="S56" s="782" t="e">
        <f>#REF!</f>
        <v>#REF!</v>
      </c>
      <c r="T56" s="780" t="e">
        <f>#REF!</f>
        <v>#REF!</v>
      </c>
    </row>
    <row r="57" spans="2:21" ht="15" customHeight="1">
      <c r="B57" s="849">
        <f t="shared" si="1"/>
        <v>24</v>
      </c>
      <c r="C57" s="813"/>
      <c r="D57" s="856" t="s">
        <v>171</v>
      </c>
      <c r="E57" s="815"/>
      <c r="F57" s="857"/>
      <c r="G57" s="852" t="s">
        <v>45</v>
      </c>
      <c r="H57" s="859"/>
      <c r="I57" s="819">
        <v>8600</v>
      </c>
      <c r="J57" s="854"/>
      <c r="L57" s="796"/>
      <c r="M57" s="780"/>
      <c r="N57" s="780"/>
      <c r="O57" s="780"/>
      <c r="P57" s="780"/>
      <c r="Q57" s="780"/>
      <c r="R57" s="781" t="e">
        <f>#REF!</f>
        <v>#REF!</v>
      </c>
      <c r="S57" s="782" t="e">
        <f>#REF!</f>
        <v>#REF!</v>
      </c>
      <c r="T57" s="780" t="e">
        <f>#REF!</f>
        <v>#REF!</v>
      </c>
    </row>
    <row r="58" spans="2:21" ht="15" customHeight="1">
      <c r="B58" s="849">
        <f t="shared" si="1"/>
        <v>25</v>
      </c>
      <c r="C58" s="855"/>
      <c r="D58" s="856" t="s">
        <v>306</v>
      </c>
      <c r="E58" s="815"/>
      <c r="F58" s="857"/>
      <c r="G58" s="862" t="s">
        <v>45</v>
      </c>
      <c r="H58" s="863"/>
      <c r="I58" s="819">
        <v>95000</v>
      </c>
      <c r="J58" s="854"/>
      <c r="L58" s="796"/>
      <c r="M58" s="780"/>
      <c r="N58" s="780"/>
      <c r="O58" s="780"/>
      <c r="P58" s="780"/>
      <c r="Q58" s="780"/>
      <c r="R58" s="781" t="e">
        <f>#REF!</f>
        <v>#REF!</v>
      </c>
      <c r="S58" s="782" t="e">
        <f>#REF!</f>
        <v>#REF!</v>
      </c>
      <c r="T58" s="780" t="e">
        <f>#REF!</f>
        <v>#REF!</v>
      </c>
    </row>
    <row r="59" spans="2:21" ht="15" customHeight="1">
      <c r="B59" s="849">
        <f t="shared" si="1"/>
        <v>26</v>
      </c>
      <c r="C59" s="855"/>
      <c r="D59" s="856" t="s">
        <v>621</v>
      </c>
      <c r="E59" s="815"/>
      <c r="F59" s="857"/>
      <c r="G59" s="862" t="s">
        <v>45</v>
      </c>
      <c r="H59" s="863"/>
      <c r="I59" s="819">
        <v>85000</v>
      </c>
      <c r="J59" s="854"/>
      <c r="L59" s="796"/>
      <c r="M59" s="780"/>
      <c r="N59" s="780"/>
      <c r="O59" s="780"/>
      <c r="P59" s="780"/>
      <c r="Q59" s="780"/>
      <c r="R59" s="781" t="e">
        <f>#REF!</f>
        <v>#REF!</v>
      </c>
      <c r="S59" s="782" t="e">
        <f>#REF!</f>
        <v>#REF!</v>
      </c>
      <c r="T59" s="780" t="e">
        <f>#REF!</f>
        <v>#REF!</v>
      </c>
    </row>
    <row r="60" spans="2:21" ht="15" customHeight="1">
      <c r="B60" s="849">
        <f t="shared" si="1"/>
        <v>27</v>
      </c>
      <c r="C60" s="855"/>
      <c r="D60" s="856" t="s">
        <v>679</v>
      </c>
      <c r="E60" s="815"/>
      <c r="F60" s="857"/>
      <c r="G60" s="862" t="s">
        <v>45</v>
      </c>
      <c r="H60" s="863"/>
      <c r="I60" s="819">
        <v>5700</v>
      </c>
      <c r="J60" s="854"/>
      <c r="L60" s="796"/>
      <c r="M60" s="780"/>
      <c r="N60" s="780"/>
      <c r="O60" s="780"/>
      <c r="P60" s="780"/>
      <c r="Q60" s="780"/>
      <c r="R60" s="781"/>
      <c r="S60" s="782"/>
      <c r="T60" s="780"/>
    </row>
    <row r="61" spans="2:21" ht="15" customHeight="1">
      <c r="B61" s="849">
        <f t="shared" si="1"/>
        <v>28</v>
      </c>
      <c r="C61" s="855"/>
      <c r="D61" s="856" t="s">
        <v>680</v>
      </c>
      <c r="E61" s="815"/>
      <c r="F61" s="857"/>
      <c r="G61" s="862" t="s">
        <v>45</v>
      </c>
      <c r="H61" s="863"/>
      <c r="I61" s="819">
        <v>14100</v>
      </c>
      <c r="J61" s="854"/>
      <c r="L61" s="796"/>
      <c r="M61" s="780"/>
      <c r="N61" s="780"/>
      <c r="O61" s="780"/>
      <c r="P61" s="780"/>
      <c r="Q61" s="780"/>
      <c r="R61" s="781"/>
      <c r="S61" s="782"/>
      <c r="T61" s="780"/>
    </row>
    <row r="62" spans="2:21" ht="15" customHeight="1">
      <c r="B62" s="849">
        <f t="shared" si="1"/>
        <v>29</v>
      </c>
      <c r="C62" s="864"/>
      <c r="D62" s="850" t="s">
        <v>373</v>
      </c>
      <c r="E62" s="815"/>
      <c r="F62" s="851"/>
      <c r="G62" s="852" t="s">
        <v>731</v>
      </c>
      <c r="H62" s="853"/>
      <c r="I62" s="819">
        <v>150000</v>
      </c>
      <c r="J62" s="854"/>
      <c r="L62" s="796"/>
      <c r="M62" s="780"/>
      <c r="N62" s="780"/>
      <c r="O62" s="780"/>
      <c r="P62" s="780"/>
      <c r="Q62" s="780"/>
      <c r="R62" s="781" t="e">
        <f>#REF!</f>
        <v>#REF!</v>
      </c>
      <c r="S62" s="782" t="e">
        <f>#REF!</f>
        <v>#REF!</v>
      </c>
      <c r="T62" s="780" t="e">
        <f>#REF!</f>
        <v>#REF!</v>
      </c>
    </row>
    <row r="63" spans="2:21" ht="15" customHeight="1">
      <c r="B63" s="849">
        <f t="shared" si="1"/>
        <v>30</v>
      </c>
      <c r="C63" s="813"/>
      <c r="D63" s="850" t="s">
        <v>283</v>
      </c>
      <c r="E63" s="815"/>
      <c r="F63" s="857"/>
      <c r="G63" s="852" t="s">
        <v>731</v>
      </c>
      <c r="H63" s="853"/>
      <c r="I63" s="819">
        <v>120000</v>
      </c>
      <c r="J63" s="854"/>
      <c r="L63" s="796"/>
      <c r="M63" s="780"/>
      <c r="N63" s="780"/>
      <c r="O63" s="780"/>
      <c r="P63" s="780"/>
      <c r="Q63" s="780"/>
      <c r="R63" s="781" t="e">
        <f>#REF!</f>
        <v>#REF!</v>
      </c>
      <c r="S63" s="782" t="e">
        <f>#REF!</f>
        <v>#REF!</v>
      </c>
      <c r="T63" s="780" t="e">
        <f>#REF!</f>
        <v>#REF!</v>
      </c>
    </row>
    <row r="64" spans="2:21" ht="15" customHeight="1">
      <c r="B64" s="849">
        <f t="shared" si="1"/>
        <v>31</v>
      </c>
      <c r="C64" s="813"/>
      <c r="D64" s="856" t="s">
        <v>284</v>
      </c>
      <c r="E64" s="815"/>
      <c r="F64" s="865"/>
      <c r="G64" s="817" t="s">
        <v>53</v>
      </c>
      <c r="H64" s="853"/>
      <c r="I64" s="819">
        <v>87500</v>
      </c>
      <c r="J64" s="854"/>
      <c r="K64" s="770"/>
      <c r="L64" s="796"/>
      <c r="M64" s="780"/>
      <c r="N64" s="780"/>
      <c r="O64" s="780"/>
      <c r="P64" s="780"/>
      <c r="Q64" s="780"/>
      <c r="R64" s="781" t="e">
        <f>#REF!</f>
        <v>#REF!</v>
      </c>
      <c r="S64" s="782" t="e">
        <f>#REF!</f>
        <v>#REF!</v>
      </c>
      <c r="T64" s="780" t="e">
        <f>#REF!</f>
        <v>#REF!</v>
      </c>
    </row>
    <row r="65" spans="2:20" ht="15" customHeight="1">
      <c r="B65" s="849">
        <f t="shared" si="1"/>
        <v>32</v>
      </c>
      <c r="C65" s="813"/>
      <c r="D65" s="856" t="s">
        <v>640</v>
      </c>
      <c r="E65" s="815"/>
      <c r="F65" s="865"/>
      <c r="G65" s="817" t="s">
        <v>53</v>
      </c>
      <c r="H65" s="853"/>
      <c r="I65" s="819">
        <v>220000</v>
      </c>
      <c r="J65" s="854"/>
      <c r="K65" s="770"/>
      <c r="L65" s="796"/>
      <c r="M65" s="780"/>
      <c r="N65" s="780"/>
      <c r="O65" s="780"/>
      <c r="P65" s="780"/>
      <c r="Q65" s="780"/>
      <c r="R65" s="781" t="e">
        <f>#REF!</f>
        <v>#REF!</v>
      </c>
      <c r="S65" s="782" t="e">
        <f>#REF!</f>
        <v>#REF!</v>
      </c>
      <c r="T65" s="780" t="e">
        <f>#REF!</f>
        <v>#REF!</v>
      </c>
    </row>
    <row r="66" spans="2:20" ht="15" customHeight="1">
      <c r="B66" s="849">
        <f t="shared" si="1"/>
        <v>33</v>
      </c>
      <c r="C66" s="813"/>
      <c r="D66" s="856" t="s">
        <v>72</v>
      </c>
      <c r="E66" s="815"/>
      <c r="F66" s="865"/>
      <c r="G66" s="817" t="s">
        <v>73</v>
      </c>
      <c r="H66" s="853"/>
      <c r="I66" s="819">
        <v>14600</v>
      </c>
      <c r="J66" s="854"/>
      <c r="K66" s="770"/>
      <c r="L66" s="796"/>
      <c r="M66" s="780"/>
      <c r="N66" s="780"/>
      <c r="O66" s="780"/>
      <c r="P66" s="780"/>
      <c r="Q66" s="780"/>
      <c r="R66" s="781"/>
      <c r="S66" s="782"/>
      <c r="T66" s="780"/>
    </row>
    <row r="67" spans="2:20" ht="15" customHeight="1">
      <c r="B67" s="849">
        <f t="shared" si="1"/>
        <v>34</v>
      </c>
      <c r="C67" s="813"/>
      <c r="D67" s="856" t="s">
        <v>466</v>
      </c>
      <c r="E67" s="815"/>
      <c r="F67" s="865"/>
      <c r="G67" s="817" t="s">
        <v>45</v>
      </c>
      <c r="H67" s="853"/>
      <c r="I67" s="819">
        <v>250000</v>
      </c>
      <c r="J67" s="854"/>
      <c r="K67" s="770"/>
      <c r="L67" s="796"/>
      <c r="M67" s="780"/>
      <c r="N67" s="780"/>
      <c r="O67" s="780"/>
      <c r="P67" s="780"/>
      <c r="Q67" s="780"/>
      <c r="R67" s="781"/>
      <c r="S67" s="782"/>
      <c r="T67" s="780"/>
    </row>
    <row r="68" spans="2:20" ht="15" customHeight="1">
      <c r="B68" s="849">
        <f t="shared" si="1"/>
        <v>35</v>
      </c>
      <c r="C68" s="813"/>
      <c r="D68" s="850" t="s">
        <v>312</v>
      </c>
      <c r="E68" s="815"/>
      <c r="F68" s="851"/>
      <c r="G68" s="852" t="s">
        <v>32</v>
      </c>
      <c r="H68" s="866"/>
      <c r="I68" s="819">
        <v>10000</v>
      </c>
      <c r="J68" s="854"/>
      <c r="L68" s="796"/>
      <c r="M68" s="780"/>
      <c r="N68" s="780"/>
      <c r="O68" s="780"/>
      <c r="P68" s="780"/>
      <c r="Q68" s="780"/>
      <c r="R68" s="781" t="e">
        <f>#REF!</f>
        <v>#REF!</v>
      </c>
      <c r="S68" s="782" t="e">
        <f>#REF!</f>
        <v>#REF!</v>
      </c>
      <c r="T68" s="780" t="e">
        <f>#REF!</f>
        <v>#REF!</v>
      </c>
    </row>
    <row r="69" spans="2:20" ht="15" customHeight="1">
      <c r="B69" s="849">
        <f t="shared" si="1"/>
        <v>36</v>
      </c>
      <c r="C69" s="813"/>
      <c r="D69" s="850" t="s">
        <v>313</v>
      </c>
      <c r="E69" s="815"/>
      <c r="F69" s="851"/>
      <c r="G69" s="852" t="s">
        <v>32</v>
      </c>
      <c r="H69" s="866"/>
      <c r="I69" s="819">
        <v>25000</v>
      </c>
      <c r="J69" s="854"/>
      <c r="L69" s="796"/>
      <c r="M69" s="780"/>
      <c r="N69" s="780"/>
      <c r="O69" s="780"/>
      <c r="P69" s="780"/>
      <c r="Q69" s="780"/>
      <c r="R69" s="781" t="e">
        <f>#REF!</f>
        <v>#REF!</v>
      </c>
      <c r="S69" s="782" t="e">
        <f>#REF!</f>
        <v>#REF!</v>
      </c>
      <c r="T69" s="780" t="e">
        <f>#REF!</f>
        <v>#REF!</v>
      </c>
    </row>
    <row r="70" spans="2:20" ht="15" customHeight="1">
      <c r="B70" s="849">
        <f t="shared" si="1"/>
        <v>37</v>
      </c>
      <c r="C70" s="813"/>
      <c r="D70" s="860" t="s">
        <v>169</v>
      </c>
      <c r="E70" s="815"/>
      <c r="F70" s="857"/>
      <c r="G70" s="852" t="s">
        <v>731</v>
      </c>
      <c r="H70" s="864"/>
      <c r="I70" s="819">
        <v>122000</v>
      </c>
      <c r="J70" s="854"/>
      <c r="L70" s="796"/>
      <c r="M70" s="780"/>
      <c r="N70" s="780"/>
      <c r="O70" s="780"/>
      <c r="P70" s="780"/>
      <c r="Q70" s="780"/>
      <c r="R70" s="781" t="e">
        <f>#REF!</f>
        <v>#REF!</v>
      </c>
      <c r="S70" s="782" t="e">
        <f>#REF!</f>
        <v>#REF!</v>
      </c>
      <c r="T70" s="780" t="e">
        <f>#REF!</f>
        <v>#REF!</v>
      </c>
    </row>
    <row r="71" spans="2:20" ht="15" customHeight="1">
      <c r="B71" s="849">
        <f t="shared" si="1"/>
        <v>38</v>
      </c>
      <c r="C71" s="813"/>
      <c r="D71" s="860" t="s">
        <v>195</v>
      </c>
      <c r="E71" s="815"/>
      <c r="F71" s="857"/>
      <c r="G71" s="852" t="s">
        <v>731</v>
      </c>
      <c r="H71" s="864"/>
      <c r="I71" s="819">
        <v>129000</v>
      </c>
      <c r="J71" s="854"/>
      <c r="L71" s="796"/>
      <c r="M71" s="780"/>
      <c r="N71" s="780"/>
      <c r="O71" s="780"/>
      <c r="P71" s="780"/>
      <c r="Q71" s="780"/>
      <c r="R71" s="781" t="e">
        <f>#REF!</f>
        <v>#REF!</v>
      </c>
      <c r="S71" s="782" t="e">
        <f>#REF!</f>
        <v>#REF!</v>
      </c>
      <c r="T71" s="780" t="e">
        <f>#REF!</f>
        <v>#REF!</v>
      </c>
    </row>
    <row r="72" spans="2:20" ht="15" customHeight="1">
      <c r="B72" s="849">
        <f t="shared" si="1"/>
        <v>39</v>
      </c>
      <c r="C72" s="813"/>
      <c r="D72" s="856" t="s">
        <v>231</v>
      </c>
      <c r="E72" s="815"/>
      <c r="F72" s="867"/>
      <c r="G72" s="852" t="s">
        <v>73</v>
      </c>
      <c r="H72" s="859"/>
      <c r="I72" s="819">
        <v>25700</v>
      </c>
      <c r="J72" s="854"/>
      <c r="L72" s="796"/>
      <c r="M72" s="780"/>
      <c r="N72" s="780"/>
      <c r="O72" s="780"/>
      <c r="P72" s="780"/>
      <c r="Q72" s="780"/>
      <c r="R72" s="781" t="e">
        <f>#REF!</f>
        <v>#REF!</v>
      </c>
      <c r="S72" s="782" t="e">
        <f>#REF!</f>
        <v>#REF!</v>
      </c>
      <c r="T72" s="780" t="e">
        <f>#REF!</f>
        <v>#REF!</v>
      </c>
    </row>
    <row r="73" spans="2:20" ht="15" customHeight="1">
      <c r="B73" s="849">
        <f t="shared" si="1"/>
        <v>40</v>
      </c>
      <c r="C73" s="813"/>
      <c r="D73" s="850" t="s">
        <v>30</v>
      </c>
      <c r="E73" s="815"/>
      <c r="F73" s="851"/>
      <c r="G73" s="817" t="s">
        <v>73</v>
      </c>
      <c r="H73" s="853"/>
      <c r="I73" s="819">
        <v>19100</v>
      </c>
      <c r="J73" s="854"/>
      <c r="L73" s="796"/>
      <c r="M73" s="780"/>
      <c r="N73" s="780"/>
      <c r="O73" s="780"/>
      <c r="P73" s="780"/>
      <c r="Q73" s="780"/>
      <c r="R73" s="781" t="e">
        <f>#REF!</f>
        <v>#REF!</v>
      </c>
      <c r="S73" s="782" t="e">
        <f>#REF!</f>
        <v>#REF!</v>
      </c>
      <c r="T73" s="780" t="e">
        <f>#REF!</f>
        <v>#REF!</v>
      </c>
    </row>
    <row r="74" spans="2:20" ht="15" customHeight="1">
      <c r="B74" s="849">
        <f t="shared" si="1"/>
        <v>41</v>
      </c>
      <c r="C74" s="813"/>
      <c r="D74" s="850" t="s">
        <v>9</v>
      </c>
      <c r="E74" s="815"/>
      <c r="F74" s="815"/>
      <c r="G74" s="852" t="s">
        <v>43</v>
      </c>
      <c r="H74" s="853"/>
      <c r="I74" s="819">
        <v>1753500</v>
      </c>
      <c r="J74" s="854"/>
      <c r="L74" s="796"/>
      <c r="M74" s="780"/>
      <c r="N74" s="780"/>
      <c r="O74" s="780"/>
      <c r="P74" s="780"/>
      <c r="Q74" s="780"/>
      <c r="R74" s="781" t="e">
        <f>#REF!</f>
        <v>#REF!</v>
      </c>
      <c r="S74" s="782" t="e">
        <f>#REF!</f>
        <v>#REF!</v>
      </c>
      <c r="T74" s="780" t="e">
        <f>#REF!</f>
        <v>#REF!</v>
      </c>
    </row>
    <row r="75" spans="2:20" ht="15" customHeight="1">
      <c r="B75" s="849">
        <f t="shared" si="1"/>
        <v>42</v>
      </c>
      <c r="C75" s="813"/>
      <c r="D75" s="850" t="s">
        <v>19</v>
      </c>
      <c r="E75" s="815"/>
      <c r="F75" s="851"/>
      <c r="G75" s="852" t="s">
        <v>43</v>
      </c>
      <c r="H75" s="853"/>
      <c r="I75" s="819">
        <v>2442000</v>
      </c>
      <c r="J75" s="854"/>
      <c r="L75" s="796"/>
      <c r="M75" s="780"/>
      <c r="N75" s="780"/>
      <c r="O75" s="780"/>
      <c r="P75" s="780"/>
      <c r="Q75" s="780"/>
      <c r="R75" s="781" t="e">
        <f>#REF!</f>
        <v>#REF!</v>
      </c>
      <c r="S75" s="782" t="e">
        <f>#REF!</f>
        <v>#REF!</v>
      </c>
      <c r="T75" s="780" t="e">
        <f>#REF!</f>
        <v>#REF!</v>
      </c>
    </row>
    <row r="76" spans="2:20" ht="15" customHeight="1">
      <c r="B76" s="849">
        <f t="shared" si="1"/>
        <v>43</v>
      </c>
      <c r="C76" s="813"/>
      <c r="D76" s="850" t="s">
        <v>10</v>
      </c>
      <c r="E76" s="815"/>
      <c r="F76" s="868"/>
      <c r="G76" s="852" t="s">
        <v>43</v>
      </c>
      <c r="H76" s="864"/>
      <c r="I76" s="819">
        <v>2548000</v>
      </c>
      <c r="J76" s="854"/>
      <c r="L76" s="796"/>
      <c r="M76" s="780"/>
      <c r="N76" s="780"/>
      <c r="O76" s="780"/>
      <c r="P76" s="780"/>
      <c r="Q76" s="780"/>
      <c r="R76" s="781" t="e">
        <f>#REF!</f>
        <v>#REF!</v>
      </c>
      <c r="S76" s="782" t="e">
        <f>#REF!</f>
        <v>#REF!</v>
      </c>
      <c r="T76" s="780" t="e">
        <f>#REF!</f>
        <v>#REF!</v>
      </c>
    </row>
    <row r="77" spans="2:20" ht="15" customHeight="1">
      <c r="B77" s="849">
        <f t="shared" si="1"/>
        <v>44</v>
      </c>
      <c r="C77" s="813"/>
      <c r="D77" s="850" t="s">
        <v>285</v>
      </c>
      <c r="E77" s="815"/>
      <c r="F77" s="868"/>
      <c r="G77" s="852" t="s">
        <v>45</v>
      </c>
      <c r="H77" s="864"/>
      <c r="I77" s="819">
        <v>14100</v>
      </c>
      <c r="J77" s="854"/>
      <c r="L77" s="796"/>
      <c r="M77" s="780"/>
      <c r="N77" s="780"/>
      <c r="O77" s="780"/>
      <c r="P77" s="780"/>
      <c r="Q77" s="780"/>
      <c r="R77" s="781"/>
      <c r="S77" s="782"/>
      <c r="T77" s="780"/>
    </row>
    <row r="78" spans="2:20" ht="15" customHeight="1">
      <c r="B78" s="849">
        <f t="shared" si="1"/>
        <v>45</v>
      </c>
      <c r="C78" s="813"/>
      <c r="D78" s="856" t="s">
        <v>557</v>
      </c>
      <c r="E78" s="815"/>
      <c r="F78" s="857"/>
      <c r="G78" s="852" t="s">
        <v>731</v>
      </c>
      <c r="H78" s="853"/>
      <c r="I78" s="819">
        <v>85000</v>
      </c>
      <c r="J78" s="854"/>
      <c r="L78" s="796"/>
      <c r="M78" s="780"/>
      <c r="N78" s="780"/>
      <c r="O78" s="780"/>
      <c r="P78" s="780"/>
      <c r="Q78" s="780"/>
      <c r="R78" s="781" t="e">
        <f>#REF!</f>
        <v>#REF!</v>
      </c>
      <c r="S78" s="782" t="e">
        <f>#REF!</f>
        <v>#REF!</v>
      </c>
      <c r="T78" s="780" t="e">
        <f>#REF!</f>
        <v>#REF!</v>
      </c>
    </row>
    <row r="79" spans="2:20" ht="15" customHeight="1">
      <c r="B79" s="849">
        <f t="shared" si="1"/>
        <v>46</v>
      </c>
      <c r="C79" s="813"/>
      <c r="D79" s="856" t="s">
        <v>590</v>
      </c>
      <c r="E79" s="815"/>
      <c r="F79" s="857"/>
      <c r="G79" s="852" t="s">
        <v>731</v>
      </c>
      <c r="H79" s="853"/>
      <c r="I79" s="819">
        <v>75000</v>
      </c>
      <c r="J79" s="854"/>
      <c r="L79" s="796"/>
      <c r="M79" s="780"/>
      <c r="N79" s="780"/>
      <c r="O79" s="780"/>
      <c r="P79" s="780"/>
      <c r="Q79" s="780"/>
      <c r="R79" s="781"/>
      <c r="S79" s="782"/>
      <c r="T79" s="780"/>
    </row>
    <row r="80" spans="2:20" ht="15" customHeight="1">
      <c r="B80" s="849">
        <f t="shared" si="1"/>
        <v>47</v>
      </c>
      <c r="C80" s="813"/>
      <c r="D80" s="850" t="s">
        <v>554</v>
      </c>
      <c r="E80" s="815"/>
      <c r="F80" s="857"/>
      <c r="G80" s="817" t="s">
        <v>44</v>
      </c>
      <c r="H80" s="853"/>
      <c r="I80" s="819">
        <v>100000</v>
      </c>
      <c r="J80" s="854"/>
      <c r="L80" s="796"/>
      <c r="M80" s="780"/>
      <c r="N80" s="780"/>
      <c r="O80" s="780"/>
      <c r="P80" s="780"/>
      <c r="Q80" s="780"/>
      <c r="R80" s="781" t="e">
        <f>#REF!</f>
        <v>#REF!</v>
      </c>
      <c r="S80" s="782" t="e">
        <f>#REF!</f>
        <v>#REF!</v>
      </c>
      <c r="T80" s="780" t="e">
        <f>#REF!</f>
        <v>#REF!</v>
      </c>
    </row>
    <row r="81" spans="2:20" ht="15" customHeight="1">
      <c r="B81" s="849">
        <f t="shared" si="1"/>
        <v>48</v>
      </c>
      <c r="C81" s="869"/>
      <c r="D81" s="850" t="s">
        <v>558</v>
      </c>
      <c r="E81" s="870"/>
      <c r="F81" s="871"/>
      <c r="G81" s="817" t="s">
        <v>45</v>
      </c>
      <c r="H81" s="872"/>
      <c r="I81" s="819">
        <v>8500</v>
      </c>
      <c r="J81" s="854"/>
      <c r="L81" s="796"/>
      <c r="M81" s="780"/>
      <c r="N81" s="780"/>
      <c r="O81" s="780"/>
      <c r="P81" s="780"/>
      <c r="Q81" s="780"/>
      <c r="R81" s="781" t="e">
        <f>#REF!</f>
        <v>#REF!</v>
      </c>
      <c r="S81" s="782" t="e">
        <f>#REF!</f>
        <v>#REF!</v>
      </c>
      <c r="T81" s="780" t="e">
        <f>#REF!</f>
        <v>#REF!</v>
      </c>
    </row>
    <row r="82" spans="2:20" ht="15" customHeight="1">
      <c r="B82" s="849">
        <f t="shared" si="1"/>
        <v>49</v>
      </c>
      <c r="C82" s="869"/>
      <c r="D82" s="850" t="s">
        <v>578</v>
      </c>
      <c r="E82" s="870"/>
      <c r="F82" s="871"/>
      <c r="G82" s="817" t="s">
        <v>100</v>
      </c>
      <c r="H82" s="872"/>
      <c r="I82" s="819">
        <v>135000</v>
      </c>
      <c r="J82" s="854"/>
      <c r="L82" s="796"/>
      <c r="M82" s="780"/>
      <c r="N82" s="780"/>
      <c r="O82" s="780"/>
      <c r="P82" s="780"/>
      <c r="Q82" s="780"/>
      <c r="R82" s="781"/>
      <c r="S82" s="782"/>
      <c r="T82" s="780"/>
    </row>
    <row r="83" spans="2:20" ht="15" customHeight="1">
      <c r="B83" s="849">
        <f t="shared" si="1"/>
        <v>50</v>
      </c>
      <c r="C83" s="869"/>
      <c r="D83" s="850" t="s">
        <v>437</v>
      </c>
      <c r="E83" s="870"/>
      <c r="F83" s="871"/>
      <c r="G83" s="817" t="s">
        <v>45</v>
      </c>
      <c r="H83" s="872"/>
      <c r="I83" s="819">
        <v>250</v>
      </c>
      <c r="J83" s="854"/>
      <c r="L83" s="796"/>
      <c r="M83" s="780"/>
      <c r="N83" s="780"/>
      <c r="O83" s="780"/>
      <c r="P83" s="780"/>
      <c r="Q83" s="780"/>
      <c r="R83" s="781"/>
      <c r="S83" s="782"/>
      <c r="T83" s="780"/>
    </row>
    <row r="84" spans="2:20" ht="15" customHeight="1">
      <c r="B84" s="849">
        <f t="shared" si="1"/>
        <v>51</v>
      </c>
      <c r="C84" s="813"/>
      <c r="D84" s="856" t="s">
        <v>371</v>
      </c>
      <c r="E84" s="815"/>
      <c r="F84" s="857"/>
      <c r="G84" s="852" t="s">
        <v>45</v>
      </c>
      <c r="H84" s="853"/>
      <c r="I84" s="819">
        <v>110000</v>
      </c>
      <c r="J84" s="854"/>
      <c r="L84" s="796"/>
      <c r="M84" s="780"/>
      <c r="N84" s="780"/>
      <c r="O84" s="780"/>
      <c r="P84" s="780"/>
      <c r="Q84" s="780"/>
      <c r="R84" s="781" t="e">
        <f>#REF!</f>
        <v>#REF!</v>
      </c>
      <c r="S84" s="782" t="e">
        <f>#REF!</f>
        <v>#REF!</v>
      </c>
      <c r="T84" s="780" t="e">
        <f>#REF!</f>
        <v>#REF!</v>
      </c>
    </row>
    <row r="85" spans="2:20" ht="15" customHeight="1">
      <c r="B85" s="849">
        <f t="shared" si="1"/>
        <v>52</v>
      </c>
      <c r="C85" s="813"/>
      <c r="D85" s="856" t="s">
        <v>516</v>
      </c>
      <c r="E85" s="815"/>
      <c r="F85" s="857"/>
      <c r="G85" s="852" t="s">
        <v>32</v>
      </c>
      <c r="H85" s="853"/>
      <c r="I85" s="819">
        <v>115000</v>
      </c>
      <c r="J85" s="854"/>
      <c r="L85" s="796"/>
      <c r="M85" s="780"/>
      <c r="N85" s="780"/>
      <c r="O85" s="780"/>
      <c r="P85" s="780"/>
      <c r="Q85" s="780"/>
      <c r="R85" s="781" t="e">
        <f>#REF!</f>
        <v>#REF!</v>
      </c>
      <c r="S85" s="782" t="e">
        <f>#REF!</f>
        <v>#REF!</v>
      </c>
      <c r="T85" s="780" t="e">
        <f>#REF!</f>
        <v>#REF!</v>
      </c>
    </row>
    <row r="86" spans="2:20" ht="15" customHeight="1">
      <c r="B86" s="849">
        <f t="shared" si="1"/>
        <v>53</v>
      </c>
      <c r="C86" s="813"/>
      <c r="D86" s="850" t="s">
        <v>11</v>
      </c>
      <c r="E86" s="815"/>
      <c r="F86" s="851"/>
      <c r="G86" s="817" t="s">
        <v>45</v>
      </c>
      <c r="H86" s="853"/>
      <c r="I86" s="819">
        <v>21500</v>
      </c>
      <c r="J86" s="854"/>
      <c r="L86" s="796"/>
      <c r="M86" s="780"/>
      <c r="N86" s="780"/>
      <c r="O86" s="780"/>
      <c r="P86" s="780"/>
      <c r="Q86" s="780"/>
      <c r="R86" s="781" t="e">
        <f>#REF!</f>
        <v>#REF!</v>
      </c>
      <c r="S86" s="782" t="e">
        <f>#REF!</f>
        <v>#REF!</v>
      </c>
      <c r="T86" s="780" t="e">
        <f>#REF!</f>
        <v>#REF!</v>
      </c>
    </row>
    <row r="87" spans="2:20" ht="15" customHeight="1">
      <c r="B87" s="849">
        <f>B56+1</f>
        <v>24</v>
      </c>
      <c r="C87" s="813"/>
      <c r="D87" s="850" t="s">
        <v>661</v>
      </c>
      <c r="E87" s="815"/>
      <c r="F87" s="857"/>
      <c r="G87" s="817" t="s">
        <v>45</v>
      </c>
      <c r="H87" s="853"/>
      <c r="I87" s="819">
        <v>125000</v>
      </c>
      <c r="J87" s="854"/>
      <c r="L87" s="796"/>
      <c r="M87" s="780"/>
      <c r="N87" s="780"/>
      <c r="O87" s="780"/>
      <c r="P87" s="780"/>
      <c r="Q87" s="780"/>
      <c r="R87" s="781"/>
      <c r="S87" s="782"/>
      <c r="T87" s="780"/>
    </row>
    <row r="88" spans="2:20" ht="15" customHeight="1">
      <c r="B88" s="849">
        <f>B86+1</f>
        <v>54</v>
      </c>
      <c r="C88" s="813"/>
      <c r="D88" s="850" t="s">
        <v>662</v>
      </c>
      <c r="E88" s="815"/>
      <c r="F88" s="851"/>
      <c r="G88" s="817" t="s">
        <v>45</v>
      </c>
      <c r="H88" s="853"/>
      <c r="I88" s="819">
        <v>75000</v>
      </c>
      <c r="J88" s="854"/>
      <c r="L88" s="796"/>
      <c r="M88" s="780"/>
      <c r="N88" s="780"/>
      <c r="O88" s="780"/>
      <c r="P88" s="780"/>
      <c r="Q88" s="780"/>
      <c r="R88" s="781"/>
      <c r="S88" s="782"/>
      <c r="T88" s="780"/>
    </row>
    <row r="89" spans="2:20" ht="15" customHeight="1">
      <c r="B89" s="849">
        <f>B87+1</f>
        <v>25</v>
      </c>
      <c r="C89" s="813"/>
      <c r="D89" s="850" t="s">
        <v>665</v>
      </c>
      <c r="E89" s="815"/>
      <c r="F89" s="851"/>
      <c r="G89" s="817" t="s">
        <v>45</v>
      </c>
      <c r="H89" s="853"/>
      <c r="I89" s="819">
        <v>55000</v>
      </c>
      <c r="J89" s="854"/>
      <c r="L89" s="796"/>
      <c r="M89" s="780"/>
      <c r="N89" s="780"/>
      <c r="O89" s="780"/>
      <c r="P89" s="780"/>
      <c r="Q89" s="780"/>
      <c r="R89" s="781"/>
      <c r="S89" s="782"/>
      <c r="T89" s="780"/>
    </row>
    <row r="90" spans="2:20" ht="15" customHeight="1">
      <c r="B90" s="849">
        <f t="shared" ref="B90:B93" si="2">B88+1</f>
        <v>55</v>
      </c>
      <c r="C90" s="813"/>
      <c r="D90" s="850" t="s">
        <v>415</v>
      </c>
      <c r="E90" s="815"/>
      <c r="F90" s="851"/>
      <c r="G90" s="817" t="s">
        <v>45</v>
      </c>
      <c r="H90" s="853"/>
      <c r="I90" s="819">
        <v>99000</v>
      </c>
      <c r="J90" s="854"/>
      <c r="L90" s="796"/>
      <c r="M90" s="780"/>
      <c r="N90" s="780"/>
      <c r="O90" s="780"/>
      <c r="P90" s="780"/>
      <c r="Q90" s="780"/>
      <c r="R90" s="781"/>
      <c r="S90" s="782"/>
      <c r="T90" s="780"/>
    </row>
    <row r="91" spans="2:20" ht="15" customHeight="1">
      <c r="B91" s="849">
        <f t="shared" si="2"/>
        <v>26</v>
      </c>
      <c r="C91" s="813"/>
      <c r="D91" s="850" t="s">
        <v>660</v>
      </c>
      <c r="E91" s="815"/>
      <c r="F91" s="851"/>
      <c r="G91" s="817" t="s">
        <v>45</v>
      </c>
      <c r="H91" s="853"/>
      <c r="I91" s="819">
        <v>65000</v>
      </c>
      <c r="J91" s="854"/>
      <c r="L91" s="796"/>
      <c r="M91" s="780"/>
      <c r="N91" s="780"/>
      <c r="O91" s="780"/>
      <c r="P91" s="780"/>
      <c r="Q91" s="780"/>
      <c r="R91" s="781"/>
      <c r="S91" s="782"/>
      <c r="T91" s="780"/>
    </row>
    <row r="92" spans="2:20" ht="15" customHeight="1">
      <c r="B92" s="849">
        <f t="shared" si="2"/>
        <v>56</v>
      </c>
      <c r="C92" s="813"/>
      <c r="D92" s="850" t="s">
        <v>653</v>
      </c>
      <c r="E92" s="815"/>
      <c r="F92" s="851"/>
      <c r="G92" s="817" t="s">
        <v>32</v>
      </c>
      <c r="H92" s="853"/>
      <c r="I92" s="819">
        <v>12000</v>
      </c>
      <c r="J92" s="854"/>
      <c r="L92" s="796"/>
      <c r="M92" s="780"/>
      <c r="N92" s="780"/>
      <c r="O92" s="780"/>
      <c r="P92" s="780"/>
      <c r="Q92" s="780"/>
      <c r="R92" s="781"/>
      <c r="S92" s="782"/>
      <c r="T92" s="780"/>
    </row>
    <row r="93" spans="2:20" ht="15" customHeight="1">
      <c r="B93" s="849">
        <f t="shared" si="2"/>
        <v>27</v>
      </c>
      <c r="C93" s="813"/>
      <c r="D93" s="873" t="s">
        <v>146</v>
      </c>
      <c r="E93" s="815"/>
      <c r="F93" s="857"/>
      <c r="G93" s="817" t="s">
        <v>32</v>
      </c>
      <c r="H93" s="853"/>
      <c r="I93" s="819">
        <v>14000</v>
      </c>
      <c r="J93" s="854"/>
      <c r="L93" s="796"/>
      <c r="M93" s="780"/>
      <c r="N93" s="780"/>
      <c r="O93" s="780"/>
      <c r="P93" s="780"/>
      <c r="Q93" s="780"/>
      <c r="R93" s="781" t="e">
        <f>#REF!</f>
        <v>#REF!</v>
      </c>
      <c r="S93" s="782" t="e">
        <f>#REF!</f>
        <v>#REF!</v>
      </c>
      <c r="T93" s="780" t="e">
        <f>#REF!</f>
        <v>#REF!</v>
      </c>
    </row>
    <row r="94" spans="2:20" ht="15" customHeight="1">
      <c r="B94" s="849">
        <f t="shared" si="1"/>
        <v>28</v>
      </c>
      <c r="C94" s="813"/>
      <c r="D94" s="873" t="s">
        <v>566</v>
      </c>
      <c r="E94" s="815"/>
      <c r="F94" s="857"/>
      <c r="G94" s="817" t="s">
        <v>45</v>
      </c>
      <c r="H94" s="853"/>
      <c r="I94" s="819">
        <v>65000</v>
      </c>
      <c r="J94" s="854"/>
      <c r="L94" s="796"/>
      <c r="M94" s="780"/>
      <c r="N94" s="780"/>
      <c r="O94" s="780"/>
      <c r="P94" s="780"/>
      <c r="Q94" s="780"/>
      <c r="R94" s="781"/>
      <c r="S94" s="782"/>
      <c r="T94" s="780"/>
    </row>
    <row r="95" spans="2:20" ht="15" customHeight="1">
      <c r="B95" s="849">
        <f t="shared" si="1"/>
        <v>29</v>
      </c>
      <c r="C95" s="813"/>
      <c r="D95" s="873" t="s">
        <v>237</v>
      </c>
      <c r="E95" s="815"/>
      <c r="F95" s="857"/>
      <c r="G95" s="817" t="s">
        <v>45</v>
      </c>
      <c r="H95" s="853"/>
      <c r="I95" s="819">
        <v>63000</v>
      </c>
      <c r="J95" s="854"/>
      <c r="L95" s="796"/>
      <c r="M95" s="780"/>
      <c r="N95" s="780"/>
      <c r="O95" s="780"/>
      <c r="P95" s="780"/>
      <c r="Q95" s="780"/>
      <c r="R95" s="781"/>
      <c r="S95" s="782"/>
      <c r="T95" s="780"/>
    </row>
    <row r="96" spans="2:20" ht="15" customHeight="1">
      <c r="B96" s="849">
        <f t="shared" si="1"/>
        <v>30</v>
      </c>
      <c r="C96" s="813"/>
      <c r="D96" s="850" t="s">
        <v>174</v>
      </c>
      <c r="E96" s="815"/>
      <c r="F96" s="815"/>
      <c r="G96" s="817" t="s">
        <v>141</v>
      </c>
      <c r="H96" s="853"/>
      <c r="I96" s="819">
        <v>7900</v>
      </c>
      <c r="J96" s="854"/>
      <c r="L96" s="796"/>
      <c r="M96" s="780"/>
      <c r="N96" s="780"/>
      <c r="O96" s="780"/>
      <c r="P96" s="780"/>
      <c r="Q96" s="780"/>
      <c r="R96" s="781" t="e">
        <f>#REF!</f>
        <v>#REF!</v>
      </c>
      <c r="S96" s="782" t="e">
        <f>#REF!</f>
        <v>#REF!</v>
      </c>
      <c r="T96" s="780" t="e">
        <f>#REF!</f>
        <v>#REF!</v>
      </c>
    </row>
    <row r="97" spans="2:20" ht="15" customHeight="1">
      <c r="B97" s="849">
        <f t="shared" si="1"/>
        <v>31</v>
      </c>
      <c r="C97" s="813"/>
      <c r="D97" s="850" t="s">
        <v>307</v>
      </c>
      <c r="E97" s="815"/>
      <c r="F97" s="815"/>
      <c r="G97" s="817" t="s">
        <v>141</v>
      </c>
      <c r="H97" s="853"/>
      <c r="I97" s="819">
        <v>17300</v>
      </c>
      <c r="J97" s="854"/>
      <c r="L97" s="796"/>
      <c r="M97" s="780"/>
      <c r="N97" s="780"/>
      <c r="O97" s="780"/>
      <c r="P97" s="780"/>
      <c r="Q97" s="780"/>
      <c r="R97" s="781"/>
      <c r="S97" s="782"/>
      <c r="T97" s="780"/>
    </row>
    <row r="98" spans="2:20" ht="15" customHeight="1">
      <c r="B98" s="849">
        <f t="shared" si="1"/>
        <v>32</v>
      </c>
      <c r="C98" s="813"/>
      <c r="D98" s="850" t="s">
        <v>520</v>
      </c>
      <c r="E98" s="815"/>
      <c r="F98" s="815"/>
      <c r="G98" s="817" t="s">
        <v>100</v>
      </c>
      <c r="H98" s="853"/>
      <c r="I98" s="819">
        <v>40000</v>
      </c>
      <c r="J98" s="854"/>
      <c r="L98" s="796"/>
      <c r="M98" s="780"/>
      <c r="N98" s="780"/>
      <c r="O98" s="780"/>
      <c r="P98" s="780"/>
      <c r="Q98" s="780"/>
      <c r="R98" s="781"/>
      <c r="S98" s="782"/>
      <c r="T98" s="780"/>
    </row>
    <row r="99" spans="2:20" ht="15" customHeight="1">
      <c r="B99" s="849">
        <f t="shared" si="1"/>
        <v>33</v>
      </c>
      <c r="C99" s="813"/>
      <c r="D99" s="856" t="s">
        <v>23</v>
      </c>
      <c r="E99" s="815"/>
      <c r="F99" s="815"/>
      <c r="G99" s="852" t="s">
        <v>53</v>
      </c>
      <c r="H99" s="853"/>
      <c r="I99" s="819">
        <v>110000</v>
      </c>
      <c r="J99" s="854"/>
      <c r="L99" s="796"/>
      <c r="M99" s="780"/>
      <c r="N99" s="780"/>
      <c r="O99" s="780"/>
      <c r="P99" s="780"/>
      <c r="Q99" s="780"/>
      <c r="R99" s="781" t="e">
        <f>#REF!</f>
        <v>#REF!</v>
      </c>
      <c r="S99" s="782" t="e">
        <f>#REF!</f>
        <v>#REF!</v>
      </c>
      <c r="T99" s="780" t="e">
        <f>#REF!</f>
        <v>#REF!</v>
      </c>
    </row>
    <row r="100" spans="2:20" ht="15" customHeight="1">
      <c r="B100" s="849">
        <f t="shared" si="1"/>
        <v>34</v>
      </c>
      <c r="C100" s="813"/>
      <c r="D100" s="856" t="s">
        <v>639</v>
      </c>
      <c r="E100" s="815"/>
      <c r="F100" s="815"/>
      <c r="G100" s="852" t="s">
        <v>53</v>
      </c>
      <c r="H100" s="853"/>
      <c r="I100" s="819">
        <v>250000</v>
      </c>
      <c r="J100" s="854"/>
      <c r="L100" s="796"/>
      <c r="M100" s="780"/>
      <c r="N100" s="780"/>
      <c r="O100" s="780"/>
      <c r="P100" s="780"/>
      <c r="Q100" s="780"/>
      <c r="R100" s="781" t="e">
        <f>#REF!</f>
        <v>#REF!</v>
      </c>
      <c r="S100" s="782" t="e">
        <f>#REF!</f>
        <v>#REF!</v>
      </c>
      <c r="T100" s="780" t="e">
        <f>#REF!</f>
        <v>#REF!</v>
      </c>
    </row>
    <row r="101" spans="2:20" ht="15" customHeight="1">
      <c r="B101" s="849">
        <f t="shared" si="1"/>
        <v>35</v>
      </c>
      <c r="C101" s="813"/>
      <c r="D101" s="856" t="s">
        <v>286</v>
      </c>
      <c r="E101" s="815"/>
      <c r="F101" s="815"/>
      <c r="G101" s="852" t="s">
        <v>45</v>
      </c>
      <c r="H101" s="853"/>
      <c r="I101" s="819">
        <v>5700</v>
      </c>
      <c r="J101" s="854"/>
      <c r="L101" s="796"/>
      <c r="M101" s="780"/>
      <c r="N101" s="780"/>
      <c r="O101" s="780"/>
      <c r="P101" s="780"/>
      <c r="Q101" s="780"/>
      <c r="R101" s="781" t="e">
        <f>#REF!</f>
        <v>#REF!</v>
      </c>
      <c r="S101" s="782" t="e">
        <f>#REF!</f>
        <v>#REF!</v>
      </c>
      <c r="T101" s="780" t="e">
        <f>#REF!</f>
        <v>#REF!</v>
      </c>
    </row>
    <row r="102" spans="2:20" ht="15" customHeight="1">
      <c r="B102" s="849">
        <f t="shared" si="1"/>
        <v>36</v>
      </c>
      <c r="C102" s="813"/>
      <c r="D102" s="850" t="s">
        <v>13</v>
      </c>
      <c r="E102" s="815"/>
      <c r="F102" s="815"/>
      <c r="G102" s="852" t="s">
        <v>73</v>
      </c>
      <c r="H102" s="853"/>
      <c r="I102" s="819">
        <v>23300</v>
      </c>
      <c r="J102" s="874"/>
      <c r="L102" s="796"/>
      <c r="M102" s="780"/>
      <c r="N102" s="780"/>
      <c r="O102" s="780"/>
      <c r="P102" s="780"/>
      <c r="Q102" s="780"/>
      <c r="R102" s="781" t="e">
        <f>#REF!</f>
        <v>#REF!</v>
      </c>
      <c r="S102" s="782" t="e">
        <f>#REF!</f>
        <v>#REF!</v>
      </c>
      <c r="T102" s="780" t="e">
        <f>#REF!</f>
        <v>#REF!</v>
      </c>
    </row>
    <row r="103" spans="2:20" ht="15" customHeight="1">
      <c r="B103" s="849">
        <f t="shared" si="1"/>
        <v>37</v>
      </c>
      <c r="C103" s="813"/>
      <c r="D103" s="850" t="s">
        <v>14</v>
      </c>
      <c r="E103" s="815"/>
      <c r="F103" s="815"/>
      <c r="G103" s="852" t="s">
        <v>73</v>
      </c>
      <c r="H103" s="853"/>
      <c r="I103" s="819">
        <v>17400</v>
      </c>
      <c r="J103" s="854"/>
      <c r="L103" s="796"/>
      <c r="M103" s="780"/>
      <c r="N103" s="780"/>
      <c r="O103" s="780"/>
      <c r="P103" s="780"/>
      <c r="Q103" s="780"/>
      <c r="R103" s="781" t="e">
        <f>#REF!</f>
        <v>#REF!</v>
      </c>
      <c r="S103" s="782" t="e">
        <f>#REF!</f>
        <v>#REF!</v>
      </c>
      <c r="T103" s="780" t="e">
        <f>#REF!</f>
        <v>#REF!</v>
      </c>
    </row>
    <row r="104" spans="2:20" ht="15" customHeight="1">
      <c r="B104" s="849">
        <f t="shared" si="1"/>
        <v>38</v>
      </c>
      <c r="C104" s="813"/>
      <c r="D104" s="850" t="s">
        <v>271</v>
      </c>
      <c r="E104" s="815"/>
      <c r="F104" s="857"/>
      <c r="G104" s="852" t="s">
        <v>73</v>
      </c>
      <c r="H104" s="853"/>
      <c r="I104" s="819">
        <v>1425</v>
      </c>
      <c r="J104" s="854"/>
      <c r="L104" s="796"/>
      <c r="M104" s="780"/>
      <c r="N104" s="780"/>
      <c r="O104" s="780"/>
      <c r="P104" s="780"/>
      <c r="Q104" s="780"/>
      <c r="R104" s="781" t="e">
        <f>#REF!</f>
        <v>#REF!</v>
      </c>
      <c r="S104" s="782" t="e">
        <f>#REF!</f>
        <v>#REF!</v>
      </c>
      <c r="T104" s="780" t="e">
        <f>#REF!</f>
        <v>#REF!</v>
      </c>
    </row>
    <row r="105" spans="2:20" ht="15" customHeight="1">
      <c r="B105" s="849">
        <f t="shared" si="1"/>
        <v>39</v>
      </c>
      <c r="C105" s="813"/>
      <c r="D105" s="850" t="s">
        <v>12</v>
      </c>
      <c r="E105" s="815"/>
      <c r="F105" s="815"/>
      <c r="G105" s="852" t="s">
        <v>73</v>
      </c>
      <c r="H105" s="853"/>
      <c r="I105" s="819">
        <v>14300</v>
      </c>
      <c r="J105" s="854"/>
      <c r="L105" s="796"/>
      <c r="M105" s="780"/>
      <c r="N105" s="780"/>
      <c r="O105" s="780"/>
      <c r="P105" s="780"/>
      <c r="Q105" s="780"/>
      <c r="R105" s="781" t="e">
        <f>#REF!</f>
        <v>#REF!</v>
      </c>
      <c r="S105" s="782" t="e">
        <f>#REF!</f>
        <v>#REF!</v>
      </c>
      <c r="T105" s="780" t="e">
        <f>#REF!</f>
        <v>#REF!</v>
      </c>
    </row>
    <row r="106" spans="2:20" ht="15" customHeight="1">
      <c r="B106" s="849">
        <f t="shared" si="1"/>
        <v>40</v>
      </c>
      <c r="C106" s="813"/>
      <c r="D106" s="850" t="s">
        <v>288</v>
      </c>
      <c r="E106" s="815"/>
      <c r="F106" s="875"/>
      <c r="G106" s="852" t="s">
        <v>43</v>
      </c>
      <c r="H106" s="853"/>
      <c r="I106" s="819">
        <v>280000</v>
      </c>
      <c r="J106" s="854"/>
      <c r="L106" s="796"/>
      <c r="M106" s="780"/>
      <c r="N106" s="780"/>
      <c r="O106" s="780"/>
      <c r="P106" s="780"/>
      <c r="Q106" s="780"/>
      <c r="R106" s="781" t="e">
        <f>#REF!</f>
        <v>#REF!</v>
      </c>
      <c r="S106" s="782" t="e">
        <f>#REF!</f>
        <v>#REF!</v>
      </c>
      <c r="T106" s="780" t="e">
        <f>#REF!</f>
        <v>#REF!</v>
      </c>
    </row>
    <row r="107" spans="2:20" ht="15" customHeight="1">
      <c r="B107" s="849">
        <f t="shared" si="1"/>
        <v>41</v>
      </c>
      <c r="C107" s="813"/>
      <c r="D107" s="850" t="s">
        <v>132</v>
      </c>
      <c r="E107" s="815"/>
      <c r="F107" s="815"/>
      <c r="G107" s="852" t="s">
        <v>43</v>
      </c>
      <c r="H107" s="853"/>
      <c r="I107" s="819">
        <v>280000</v>
      </c>
      <c r="J107" s="854"/>
      <c r="L107" s="796"/>
      <c r="M107" s="780"/>
      <c r="N107" s="780"/>
      <c r="O107" s="780"/>
      <c r="P107" s="780"/>
      <c r="Q107" s="780"/>
      <c r="R107" s="781" t="e">
        <f>#REF!</f>
        <v>#REF!</v>
      </c>
      <c r="S107" s="782" t="e">
        <f>#REF!</f>
        <v>#REF!</v>
      </c>
      <c r="T107" s="780" t="e">
        <f>#REF!</f>
        <v>#REF!</v>
      </c>
    </row>
    <row r="108" spans="2:20" ht="15" customHeight="1">
      <c r="B108" s="849">
        <f t="shared" si="1"/>
        <v>42</v>
      </c>
      <c r="C108" s="813"/>
      <c r="D108" s="850" t="s">
        <v>274</v>
      </c>
      <c r="E108" s="815"/>
      <c r="F108" s="815"/>
      <c r="G108" s="852" t="s">
        <v>43</v>
      </c>
      <c r="H108" s="853"/>
      <c r="I108" s="819">
        <v>231000</v>
      </c>
      <c r="J108" s="854"/>
      <c r="L108" s="796"/>
      <c r="M108" s="780"/>
      <c r="N108" s="780"/>
      <c r="O108" s="780"/>
      <c r="P108" s="780"/>
      <c r="Q108" s="780"/>
      <c r="R108" s="781"/>
      <c r="S108" s="782"/>
      <c r="T108" s="780"/>
    </row>
    <row r="109" spans="2:20" ht="15" customHeight="1">
      <c r="B109" s="849">
        <f t="shared" si="1"/>
        <v>43</v>
      </c>
      <c r="C109" s="813"/>
      <c r="D109" s="850" t="s">
        <v>77</v>
      </c>
      <c r="E109" s="815"/>
      <c r="F109" s="815"/>
      <c r="G109" s="817" t="s">
        <v>43</v>
      </c>
      <c r="H109" s="853"/>
      <c r="I109" s="819">
        <v>171000</v>
      </c>
      <c r="J109" s="854"/>
      <c r="L109" s="796"/>
      <c r="M109" s="780"/>
      <c r="N109" s="780"/>
      <c r="O109" s="780"/>
      <c r="P109" s="780"/>
      <c r="Q109" s="780"/>
      <c r="R109" s="781" t="e">
        <f>#REF!</f>
        <v>#REF!</v>
      </c>
      <c r="S109" s="782" t="e">
        <f>#REF!</f>
        <v>#REF!</v>
      </c>
      <c r="T109" s="780" t="e">
        <f>#REF!</f>
        <v>#REF!</v>
      </c>
    </row>
    <row r="110" spans="2:20" ht="15" customHeight="1">
      <c r="B110" s="849">
        <f t="shared" si="1"/>
        <v>44</v>
      </c>
      <c r="C110" s="813"/>
      <c r="D110" s="876" t="s">
        <v>287</v>
      </c>
      <c r="E110" s="815"/>
      <c r="F110" s="815"/>
      <c r="G110" s="817" t="s">
        <v>44</v>
      </c>
      <c r="H110" s="853"/>
      <c r="I110" s="819">
        <v>128000</v>
      </c>
      <c r="J110" s="854"/>
      <c r="L110" s="796"/>
      <c r="M110" s="780"/>
      <c r="N110" s="780"/>
      <c r="O110" s="780"/>
      <c r="P110" s="780"/>
      <c r="Q110" s="780"/>
      <c r="R110" s="781" t="e">
        <f>#REF!</f>
        <v>#REF!</v>
      </c>
      <c r="S110" s="782" t="e">
        <f>#REF!</f>
        <v>#REF!</v>
      </c>
      <c r="T110" s="780" t="e">
        <f>#REF!</f>
        <v>#REF!</v>
      </c>
    </row>
    <row r="111" spans="2:20" ht="15" customHeight="1">
      <c r="B111" s="849">
        <f t="shared" ref="B111:B154" si="3">B110+1</f>
        <v>45</v>
      </c>
      <c r="C111" s="813"/>
      <c r="D111" s="850" t="s">
        <v>232</v>
      </c>
      <c r="E111" s="815"/>
      <c r="F111" s="851"/>
      <c r="G111" s="852" t="s">
        <v>50</v>
      </c>
      <c r="H111" s="853"/>
      <c r="I111" s="819">
        <v>24900</v>
      </c>
      <c r="J111" s="854"/>
      <c r="L111" s="796"/>
      <c r="M111" s="780"/>
      <c r="N111" s="780"/>
      <c r="O111" s="780"/>
      <c r="P111" s="780"/>
      <c r="Q111" s="780"/>
      <c r="R111" s="781" t="e">
        <f>#REF!</f>
        <v>#REF!</v>
      </c>
      <c r="S111" s="782" t="e">
        <f>#REF!</f>
        <v>#REF!</v>
      </c>
      <c r="T111" s="780" t="e">
        <f>#REF!</f>
        <v>#REF!</v>
      </c>
    </row>
    <row r="112" spans="2:20" ht="15" customHeight="1">
      <c r="B112" s="849">
        <f t="shared" si="3"/>
        <v>46</v>
      </c>
      <c r="C112" s="813"/>
      <c r="D112" s="850" t="s">
        <v>233</v>
      </c>
      <c r="E112" s="815"/>
      <c r="F112" s="851"/>
      <c r="G112" s="852" t="s">
        <v>50</v>
      </c>
      <c r="H112" s="853"/>
      <c r="I112" s="819">
        <v>30800</v>
      </c>
      <c r="J112" s="854"/>
      <c r="L112" s="796"/>
      <c r="M112" s="780"/>
      <c r="N112" s="780"/>
      <c r="O112" s="780"/>
      <c r="P112" s="780"/>
      <c r="Q112" s="780"/>
      <c r="R112" s="781" t="e">
        <f>#REF!</f>
        <v>#REF!</v>
      </c>
      <c r="S112" s="782" t="e">
        <f>#REF!</f>
        <v>#REF!</v>
      </c>
      <c r="T112" s="780" t="e">
        <f>#REF!</f>
        <v>#REF!</v>
      </c>
    </row>
    <row r="113" spans="2:20" ht="15" customHeight="1">
      <c r="B113" s="849">
        <f t="shared" si="3"/>
        <v>47</v>
      </c>
      <c r="C113" s="813"/>
      <c r="D113" s="850" t="s">
        <v>196</v>
      </c>
      <c r="E113" s="815"/>
      <c r="F113" s="851"/>
      <c r="G113" s="852" t="s">
        <v>50</v>
      </c>
      <c r="H113" s="853"/>
      <c r="I113" s="819">
        <v>37400</v>
      </c>
      <c r="J113" s="854"/>
      <c r="L113" s="796"/>
      <c r="M113" s="780"/>
      <c r="N113" s="780"/>
      <c r="O113" s="780"/>
      <c r="P113" s="780"/>
      <c r="Q113" s="780"/>
      <c r="R113" s="781" t="e">
        <f>#REF!</f>
        <v>#REF!</v>
      </c>
      <c r="S113" s="782" t="e">
        <f>#REF!</f>
        <v>#REF!</v>
      </c>
      <c r="T113" s="780" t="e">
        <f>#REF!</f>
        <v>#REF!</v>
      </c>
    </row>
    <row r="114" spans="2:20" ht="15" customHeight="1">
      <c r="B114" s="849">
        <f t="shared" si="3"/>
        <v>48</v>
      </c>
      <c r="C114" s="813"/>
      <c r="D114" s="850" t="s">
        <v>197</v>
      </c>
      <c r="E114" s="815"/>
      <c r="F114" s="851"/>
      <c r="G114" s="852" t="s">
        <v>50</v>
      </c>
      <c r="H114" s="853"/>
      <c r="I114" s="819">
        <v>77900</v>
      </c>
      <c r="J114" s="854"/>
      <c r="L114" s="796"/>
      <c r="M114" s="780"/>
      <c r="N114" s="780"/>
      <c r="O114" s="780"/>
      <c r="P114" s="780"/>
      <c r="Q114" s="780"/>
      <c r="R114" s="781" t="e">
        <f>#REF!</f>
        <v>#REF!</v>
      </c>
      <c r="S114" s="782" t="e">
        <f>#REF!</f>
        <v>#REF!</v>
      </c>
      <c r="T114" s="780" t="e">
        <f>#REF!</f>
        <v>#REF!</v>
      </c>
    </row>
    <row r="115" spans="2:20" ht="15" customHeight="1">
      <c r="B115" s="849">
        <f t="shared" si="3"/>
        <v>49</v>
      </c>
      <c r="C115" s="813"/>
      <c r="D115" s="850" t="s">
        <v>198</v>
      </c>
      <c r="E115" s="815"/>
      <c r="F115" s="851"/>
      <c r="G115" s="852" t="s">
        <v>50</v>
      </c>
      <c r="H115" s="853"/>
      <c r="I115" s="819">
        <v>159800</v>
      </c>
      <c r="J115" s="854"/>
      <c r="L115" s="796"/>
      <c r="M115" s="780"/>
      <c r="N115" s="780"/>
      <c r="O115" s="780"/>
      <c r="P115" s="780"/>
      <c r="Q115" s="780"/>
      <c r="R115" s="781" t="e">
        <f>#REF!</f>
        <v>#REF!</v>
      </c>
      <c r="S115" s="782" t="e">
        <f>#REF!</f>
        <v>#REF!</v>
      </c>
      <c r="T115" s="780" t="e">
        <f>#REF!</f>
        <v>#REF!</v>
      </c>
    </row>
    <row r="116" spans="2:20" ht="15" customHeight="1">
      <c r="B116" s="849">
        <f t="shared" si="3"/>
        <v>50</v>
      </c>
      <c r="C116" s="813"/>
      <c r="D116" s="850" t="s">
        <v>279</v>
      </c>
      <c r="E116" s="815"/>
      <c r="F116" s="851"/>
      <c r="G116" s="852" t="s">
        <v>50</v>
      </c>
      <c r="H116" s="853"/>
      <c r="I116" s="819">
        <v>159000</v>
      </c>
      <c r="J116" s="854"/>
      <c r="L116" s="796"/>
      <c r="M116" s="780"/>
      <c r="N116" s="780"/>
      <c r="O116" s="780"/>
      <c r="P116" s="780"/>
      <c r="Q116" s="780"/>
      <c r="R116" s="781" t="e">
        <f>#REF!</f>
        <v>#REF!</v>
      </c>
      <c r="S116" s="782" t="e">
        <f>#REF!</f>
        <v>#REF!</v>
      </c>
      <c r="T116" s="780" t="e">
        <f>#REF!</f>
        <v>#REF!</v>
      </c>
    </row>
    <row r="117" spans="2:20" ht="15" customHeight="1">
      <c r="B117" s="849">
        <f t="shared" si="3"/>
        <v>51</v>
      </c>
      <c r="C117" s="813"/>
      <c r="D117" s="850" t="s">
        <v>199</v>
      </c>
      <c r="E117" s="815"/>
      <c r="F117" s="851"/>
      <c r="G117" s="852" t="s">
        <v>50</v>
      </c>
      <c r="H117" s="853"/>
      <c r="I117" s="819">
        <v>182900</v>
      </c>
      <c r="J117" s="854"/>
      <c r="L117" s="796"/>
      <c r="M117" s="780"/>
      <c r="N117" s="780"/>
      <c r="O117" s="780"/>
      <c r="P117" s="780"/>
      <c r="Q117" s="780"/>
      <c r="R117" s="781" t="e">
        <f>#REF!</f>
        <v>#REF!</v>
      </c>
      <c r="S117" s="782" t="e">
        <f>#REF!</f>
        <v>#REF!</v>
      </c>
      <c r="T117" s="780" t="e">
        <f>#REF!</f>
        <v>#REF!</v>
      </c>
    </row>
    <row r="118" spans="2:20" ht="15" customHeight="1">
      <c r="B118" s="849">
        <f t="shared" si="3"/>
        <v>52</v>
      </c>
      <c r="C118" s="813"/>
      <c r="D118" s="850" t="s">
        <v>175</v>
      </c>
      <c r="E118" s="815"/>
      <c r="F118" s="851"/>
      <c r="G118" s="852" t="s">
        <v>50</v>
      </c>
      <c r="H118" s="853"/>
      <c r="I118" s="819">
        <v>329200</v>
      </c>
      <c r="J118" s="854"/>
      <c r="L118" s="796"/>
      <c r="M118" s="780"/>
      <c r="N118" s="780"/>
      <c r="O118" s="780"/>
      <c r="P118" s="780"/>
      <c r="Q118" s="780"/>
      <c r="R118" s="781" t="e">
        <f>#REF!</f>
        <v>#REF!</v>
      </c>
      <c r="S118" s="782" t="e">
        <f>#REF!</f>
        <v>#REF!</v>
      </c>
      <c r="T118" s="780" t="e">
        <f>#REF!</f>
        <v>#REF!</v>
      </c>
    </row>
    <row r="119" spans="2:20" ht="15" customHeight="1">
      <c r="B119" s="849">
        <f t="shared" si="3"/>
        <v>53</v>
      </c>
      <c r="C119" s="813"/>
      <c r="D119" s="850" t="s">
        <v>624</v>
      </c>
      <c r="E119" s="815"/>
      <c r="F119" s="851"/>
      <c r="G119" s="852" t="s">
        <v>50</v>
      </c>
      <c r="H119" s="853"/>
      <c r="I119" s="819">
        <v>1500000</v>
      </c>
      <c r="J119" s="854"/>
      <c r="L119" s="796"/>
      <c r="M119" s="780"/>
      <c r="N119" s="780"/>
      <c r="O119" s="780"/>
      <c r="P119" s="780"/>
      <c r="Q119" s="780"/>
      <c r="R119" s="781" t="e">
        <f>#REF!</f>
        <v>#REF!</v>
      </c>
      <c r="S119" s="782" t="e">
        <f>#REF!</f>
        <v>#REF!</v>
      </c>
      <c r="T119" s="780" t="e">
        <f>#REF!</f>
        <v>#REF!</v>
      </c>
    </row>
    <row r="120" spans="2:20" ht="15" customHeight="1">
      <c r="B120" s="849">
        <f t="shared" si="3"/>
        <v>54</v>
      </c>
      <c r="C120" s="813"/>
      <c r="D120" s="850" t="s">
        <v>372</v>
      </c>
      <c r="E120" s="815"/>
      <c r="F120" s="851"/>
      <c r="G120" s="852" t="s">
        <v>50</v>
      </c>
      <c r="H120" s="853"/>
      <c r="I120" s="819">
        <v>160000</v>
      </c>
      <c r="J120" s="854"/>
      <c r="L120" s="796"/>
      <c r="M120" s="780"/>
      <c r="N120" s="780"/>
      <c r="O120" s="780"/>
      <c r="P120" s="780"/>
      <c r="Q120" s="780"/>
      <c r="R120" s="781" t="e">
        <f>#REF!</f>
        <v>#REF!</v>
      </c>
      <c r="S120" s="782" t="e">
        <f>#REF!</f>
        <v>#REF!</v>
      </c>
      <c r="T120" s="780" t="e">
        <f>#REF!</f>
        <v>#REF!</v>
      </c>
    </row>
    <row r="121" spans="2:20" ht="15" customHeight="1">
      <c r="B121" s="849">
        <f t="shared" si="3"/>
        <v>55</v>
      </c>
      <c r="C121" s="813"/>
      <c r="D121" s="850" t="s">
        <v>133</v>
      </c>
      <c r="E121" s="815"/>
      <c r="F121" s="851"/>
      <c r="G121" s="852" t="s">
        <v>73</v>
      </c>
      <c r="H121" s="853"/>
      <c r="I121" s="819">
        <v>20400</v>
      </c>
      <c r="J121" s="854"/>
      <c r="L121" s="796"/>
      <c r="M121" s="780"/>
      <c r="N121" s="780"/>
      <c r="O121" s="780"/>
      <c r="P121" s="780"/>
      <c r="Q121" s="780"/>
      <c r="R121" s="781" t="e">
        <f>#REF!</f>
        <v>#REF!</v>
      </c>
      <c r="S121" s="782" t="e">
        <f>#REF!</f>
        <v>#REF!</v>
      </c>
      <c r="T121" s="780" t="e">
        <f>#REF!</f>
        <v>#REF!</v>
      </c>
    </row>
    <row r="122" spans="2:20" ht="15" customHeight="1">
      <c r="B122" s="849">
        <f t="shared" si="3"/>
        <v>56</v>
      </c>
      <c r="C122" s="813"/>
      <c r="D122" s="850" t="s">
        <v>611</v>
      </c>
      <c r="E122" s="815"/>
      <c r="F122" s="851"/>
      <c r="G122" s="852" t="s">
        <v>45</v>
      </c>
      <c r="H122" s="853"/>
      <c r="I122" s="819">
        <v>20000</v>
      </c>
      <c r="J122" s="854"/>
      <c r="L122" s="796"/>
      <c r="M122" s="780"/>
      <c r="N122" s="780"/>
      <c r="O122" s="780"/>
      <c r="P122" s="780"/>
      <c r="Q122" s="780"/>
      <c r="R122" s="781" t="e">
        <f>#REF!</f>
        <v>#REF!</v>
      </c>
      <c r="S122" s="782" t="e">
        <f>#REF!</f>
        <v>#REF!</v>
      </c>
      <c r="T122" s="780" t="e">
        <f>#REF!</f>
        <v>#REF!</v>
      </c>
    </row>
    <row r="123" spans="2:20" ht="15" customHeight="1">
      <c r="B123" s="849">
        <f t="shared" si="3"/>
        <v>57</v>
      </c>
      <c r="C123" s="813"/>
      <c r="D123" s="856" t="s">
        <v>20</v>
      </c>
      <c r="E123" s="815"/>
      <c r="F123" s="851"/>
      <c r="G123" s="852" t="s">
        <v>32</v>
      </c>
      <c r="H123" s="853"/>
      <c r="I123" s="819">
        <v>8500</v>
      </c>
      <c r="J123" s="854"/>
      <c r="L123" s="796"/>
      <c r="M123" s="780"/>
      <c r="N123" s="780"/>
      <c r="O123" s="780"/>
      <c r="P123" s="780"/>
      <c r="Q123" s="780"/>
      <c r="R123" s="781" t="e">
        <f>#REF!</f>
        <v>#REF!</v>
      </c>
      <c r="S123" s="782" t="e">
        <f>#REF!</f>
        <v>#REF!</v>
      </c>
      <c r="T123" s="780" t="e">
        <f>#REF!</f>
        <v>#REF!</v>
      </c>
    </row>
    <row r="124" spans="2:20" ht="15" customHeight="1">
      <c r="B124" s="849">
        <f t="shared" si="3"/>
        <v>58</v>
      </c>
      <c r="C124" s="813"/>
      <c r="D124" s="850" t="s">
        <v>266</v>
      </c>
      <c r="E124" s="815"/>
      <c r="F124" s="815"/>
      <c r="G124" s="817" t="s">
        <v>32</v>
      </c>
      <c r="H124" s="853"/>
      <c r="I124" s="819">
        <v>8200</v>
      </c>
      <c r="J124" s="854"/>
      <c r="L124" s="796"/>
      <c r="M124" s="780"/>
      <c r="N124" s="780"/>
      <c r="O124" s="780"/>
      <c r="P124" s="780"/>
      <c r="Q124" s="780"/>
      <c r="R124" s="781" t="e">
        <f>#REF!</f>
        <v>#REF!</v>
      </c>
      <c r="S124" s="782" t="e">
        <f>#REF!</f>
        <v>#REF!</v>
      </c>
      <c r="T124" s="780" t="e">
        <f>#REF!</f>
        <v>#REF!</v>
      </c>
    </row>
    <row r="125" spans="2:20" ht="15" customHeight="1">
      <c r="B125" s="849">
        <f t="shared" si="3"/>
        <v>59</v>
      </c>
      <c r="C125" s="813"/>
      <c r="D125" s="850" t="s">
        <v>204</v>
      </c>
      <c r="E125" s="815"/>
      <c r="F125" s="815"/>
      <c r="G125" s="817" t="s">
        <v>32</v>
      </c>
      <c r="H125" s="853"/>
      <c r="I125" s="819">
        <v>120000</v>
      </c>
      <c r="J125" s="854"/>
      <c r="L125" s="796"/>
      <c r="M125" s="780"/>
      <c r="N125" s="780"/>
      <c r="O125" s="780"/>
      <c r="P125" s="780"/>
      <c r="Q125" s="780"/>
      <c r="R125" s="781" t="e">
        <f>#REF!</f>
        <v>#REF!</v>
      </c>
      <c r="S125" s="782" t="e">
        <f>#REF!</f>
        <v>#REF!</v>
      </c>
      <c r="T125" s="780" t="e">
        <f>#REF!</f>
        <v>#REF!</v>
      </c>
    </row>
    <row r="126" spans="2:20" ht="15" customHeight="1">
      <c r="B126" s="849">
        <f t="shared" si="3"/>
        <v>60</v>
      </c>
      <c r="C126" s="813"/>
      <c r="D126" s="850" t="s">
        <v>521</v>
      </c>
      <c r="E126" s="815"/>
      <c r="F126" s="815"/>
      <c r="G126" s="817" t="s">
        <v>32</v>
      </c>
      <c r="H126" s="853"/>
      <c r="I126" s="819">
        <v>115000</v>
      </c>
      <c r="J126" s="854"/>
      <c r="L126" s="796"/>
      <c r="M126" s="780"/>
      <c r="N126" s="780"/>
      <c r="O126" s="780"/>
      <c r="P126" s="780"/>
      <c r="Q126" s="780"/>
      <c r="R126" s="781" t="e">
        <f>#REF!</f>
        <v>#REF!</v>
      </c>
      <c r="S126" s="782" t="e">
        <f>#REF!</f>
        <v>#REF!</v>
      </c>
      <c r="T126" s="780" t="e">
        <f>#REF!</f>
        <v>#REF!</v>
      </c>
    </row>
    <row r="127" spans="2:20" ht="15" customHeight="1">
      <c r="B127" s="849">
        <f t="shared" si="3"/>
        <v>61</v>
      </c>
      <c r="C127" s="813"/>
      <c r="D127" s="850" t="s">
        <v>632</v>
      </c>
      <c r="E127" s="815"/>
      <c r="F127" s="815"/>
      <c r="G127" s="817" t="s">
        <v>45</v>
      </c>
      <c r="H127" s="853"/>
      <c r="I127" s="819">
        <v>350000</v>
      </c>
      <c r="J127" s="854"/>
      <c r="L127" s="796"/>
      <c r="M127" s="780"/>
      <c r="N127" s="780"/>
      <c r="O127" s="780"/>
      <c r="P127" s="780"/>
      <c r="Q127" s="780"/>
      <c r="R127" s="781"/>
      <c r="S127" s="782"/>
      <c r="T127" s="780"/>
    </row>
    <row r="128" spans="2:20" ht="15" customHeight="1">
      <c r="B128" s="849">
        <f t="shared" si="3"/>
        <v>62</v>
      </c>
      <c r="C128" s="813"/>
      <c r="D128" s="856" t="s">
        <v>31</v>
      </c>
      <c r="E128" s="815"/>
      <c r="F128" s="875"/>
      <c r="G128" s="817" t="s">
        <v>45</v>
      </c>
      <c r="H128" s="853"/>
      <c r="I128" s="819">
        <v>1700</v>
      </c>
      <c r="J128" s="854"/>
      <c r="L128" s="796"/>
      <c r="M128" s="780"/>
      <c r="N128" s="780"/>
      <c r="O128" s="780"/>
      <c r="P128" s="780"/>
      <c r="Q128" s="780"/>
      <c r="R128" s="781" t="e">
        <f>#REF!</f>
        <v>#REF!</v>
      </c>
      <c r="S128" s="782" t="e">
        <f>#REF!</f>
        <v>#REF!</v>
      </c>
      <c r="T128" s="780" t="e">
        <f>#REF!</f>
        <v>#REF!</v>
      </c>
    </row>
    <row r="129" spans="2:20" ht="15" customHeight="1">
      <c r="B129" s="849">
        <f t="shared" si="3"/>
        <v>63</v>
      </c>
      <c r="C129" s="813"/>
      <c r="D129" s="850" t="s">
        <v>161</v>
      </c>
      <c r="E129" s="815"/>
      <c r="F129" s="875"/>
      <c r="G129" s="852" t="s">
        <v>45</v>
      </c>
      <c r="H129" s="866"/>
      <c r="I129" s="819">
        <v>31000</v>
      </c>
      <c r="J129" s="854"/>
      <c r="L129" s="796"/>
      <c r="M129" s="780"/>
      <c r="N129" s="780"/>
      <c r="O129" s="780"/>
      <c r="P129" s="780"/>
      <c r="Q129" s="780"/>
      <c r="R129" s="781" t="e">
        <f>#REF!</f>
        <v>#REF!</v>
      </c>
      <c r="S129" s="782" t="e">
        <f>#REF!</f>
        <v>#REF!</v>
      </c>
      <c r="T129" s="780" t="e">
        <f>#REF!</f>
        <v>#REF!</v>
      </c>
    </row>
    <row r="130" spans="2:20" ht="15" customHeight="1">
      <c r="B130" s="849">
        <f t="shared" si="3"/>
        <v>64</v>
      </c>
      <c r="C130" s="813"/>
      <c r="D130" s="850" t="s">
        <v>160</v>
      </c>
      <c r="E130" s="815"/>
      <c r="F130" s="815"/>
      <c r="G130" s="852" t="s">
        <v>45</v>
      </c>
      <c r="H130" s="866"/>
      <c r="I130" s="819">
        <v>24000</v>
      </c>
      <c r="J130" s="854"/>
      <c r="L130" s="796">
        <v>13.5</v>
      </c>
      <c r="M130" s="780">
        <f>L130/2</f>
        <v>6.75</v>
      </c>
      <c r="N130" s="780"/>
      <c r="O130" s="780"/>
      <c r="P130" s="780"/>
      <c r="Q130" s="780"/>
      <c r="R130" s="781" t="e">
        <f>#REF!</f>
        <v>#REF!</v>
      </c>
      <c r="S130" s="782" t="e">
        <f>#REF!</f>
        <v>#REF!</v>
      </c>
      <c r="T130" s="780" t="e">
        <f>#REF!</f>
        <v>#REF!</v>
      </c>
    </row>
    <row r="131" spans="2:20" ht="15" customHeight="1">
      <c r="B131" s="849">
        <f t="shared" si="3"/>
        <v>65</v>
      </c>
      <c r="C131" s="813"/>
      <c r="D131" s="856" t="s">
        <v>35</v>
      </c>
      <c r="E131" s="815"/>
      <c r="F131" s="815"/>
      <c r="G131" s="852" t="s">
        <v>36</v>
      </c>
      <c r="H131" s="853"/>
      <c r="I131" s="819">
        <v>60000</v>
      </c>
      <c r="J131" s="854"/>
      <c r="L131" s="796">
        <v>13.5</v>
      </c>
      <c r="M131" s="780">
        <f>L131/4</f>
        <v>3.375</v>
      </c>
      <c r="N131" s="780"/>
      <c r="O131" s="780"/>
      <c r="P131" s="780"/>
      <c r="Q131" s="780"/>
      <c r="R131" s="781" t="e">
        <f>#REF!</f>
        <v>#REF!</v>
      </c>
      <c r="S131" s="782" t="e">
        <f>#REF!</f>
        <v>#REF!</v>
      </c>
      <c r="T131" s="780" t="e">
        <f>#REF!</f>
        <v>#REF!</v>
      </c>
    </row>
    <row r="132" spans="2:20" ht="15" customHeight="1">
      <c r="B132" s="849">
        <f t="shared" si="3"/>
        <v>66</v>
      </c>
      <c r="C132" s="813"/>
      <c r="D132" s="856" t="s">
        <v>138</v>
      </c>
      <c r="E132" s="815"/>
      <c r="F132" s="816"/>
      <c r="G132" s="877" t="s">
        <v>45</v>
      </c>
      <c r="H132" s="853"/>
      <c r="I132" s="819">
        <v>5700</v>
      </c>
      <c r="J132" s="854"/>
      <c r="L132" s="796"/>
      <c r="M132" s="780"/>
      <c r="N132" s="780"/>
      <c r="O132" s="780"/>
      <c r="P132" s="780"/>
      <c r="Q132" s="780"/>
      <c r="R132" s="781" t="e">
        <f>#REF!</f>
        <v>#REF!</v>
      </c>
      <c r="S132" s="782" t="e">
        <f>#REF!</f>
        <v>#REF!</v>
      </c>
      <c r="T132" s="780" t="e">
        <f>#REF!</f>
        <v>#REF!</v>
      </c>
    </row>
    <row r="133" spans="2:20" ht="15" customHeight="1">
      <c r="B133" s="849">
        <f t="shared" si="3"/>
        <v>67</v>
      </c>
      <c r="C133" s="813"/>
      <c r="D133" s="856" t="s">
        <v>176</v>
      </c>
      <c r="E133" s="815"/>
      <c r="F133" s="815"/>
      <c r="G133" s="877" t="s">
        <v>32</v>
      </c>
      <c r="H133" s="859"/>
      <c r="I133" s="819">
        <v>57500</v>
      </c>
      <c r="J133" s="854"/>
      <c r="L133" s="796"/>
      <c r="M133" s="780"/>
      <c r="N133" s="780"/>
      <c r="O133" s="780"/>
      <c r="P133" s="780"/>
      <c r="Q133" s="780"/>
      <c r="R133" s="781"/>
      <c r="S133" s="782"/>
      <c r="T133" s="780"/>
    </row>
    <row r="134" spans="2:20" ht="15" customHeight="1">
      <c r="B134" s="849">
        <f t="shared" si="3"/>
        <v>68</v>
      </c>
      <c r="C134" s="813"/>
      <c r="D134" s="856" t="s">
        <v>667</v>
      </c>
      <c r="E134" s="815"/>
      <c r="F134" s="815"/>
      <c r="G134" s="877" t="s">
        <v>668</v>
      </c>
      <c r="H134" s="859"/>
      <c r="I134" s="819">
        <f>N134</f>
        <v>4750</v>
      </c>
      <c r="J134" s="854"/>
      <c r="L134" s="796">
        <v>95000</v>
      </c>
      <c r="M134" s="780">
        <v>20</v>
      </c>
      <c r="N134" s="780">
        <f>L134/M134</f>
        <v>4750</v>
      </c>
      <c r="O134" s="780"/>
      <c r="P134" s="780"/>
      <c r="Q134" s="780"/>
      <c r="R134" s="781"/>
      <c r="S134" s="782"/>
      <c r="T134" s="780"/>
    </row>
    <row r="135" spans="2:20" ht="15" customHeight="1">
      <c r="B135" s="849">
        <f t="shared" si="3"/>
        <v>69</v>
      </c>
      <c r="C135" s="813"/>
      <c r="D135" s="856" t="s">
        <v>670</v>
      </c>
      <c r="E135" s="815"/>
      <c r="F135" s="815"/>
      <c r="G135" s="877" t="s">
        <v>32</v>
      </c>
      <c r="H135" s="859"/>
      <c r="I135" s="819">
        <f>21000/3</f>
        <v>7000</v>
      </c>
      <c r="J135" s="854"/>
      <c r="L135" s="796"/>
      <c r="M135" s="780"/>
      <c r="N135" s="780"/>
      <c r="O135" s="780"/>
      <c r="P135" s="780"/>
      <c r="Q135" s="780"/>
      <c r="R135" s="781"/>
      <c r="S135" s="782"/>
      <c r="T135" s="780"/>
    </row>
    <row r="136" spans="2:20" ht="15" customHeight="1">
      <c r="B136" s="849">
        <f t="shared" si="3"/>
        <v>70</v>
      </c>
      <c r="C136" s="813"/>
      <c r="D136" s="850" t="s">
        <v>139</v>
      </c>
      <c r="E136" s="815"/>
      <c r="F136" s="816"/>
      <c r="G136" s="877" t="s">
        <v>45</v>
      </c>
      <c r="H136" s="866"/>
      <c r="I136" s="819">
        <v>20000</v>
      </c>
      <c r="J136" s="854"/>
      <c r="L136" s="796"/>
      <c r="M136" s="780"/>
      <c r="N136" s="780"/>
      <c r="O136" s="780"/>
      <c r="P136" s="780"/>
      <c r="Q136" s="780"/>
      <c r="R136" s="781" t="e">
        <f>#REF!</f>
        <v>#REF!</v>
      </c>
      <c r="S136" s="782" t="e">
        <f>#REF!</f>
        <v>#REF!</v>
      </c>
      <c r="T136" s="780" t="e">
        <f>#REF!</f>
        <v>#REF!</v>
      </c>
    </row>
    <row r="137" spans="2:20" ht="15" customHeight="1">
      <c r="B137" s="849">
        <f t="shared" si="3"/>
        <v>71</v>
      </c>
      <c r="C137" s="813"/>
      <c r="D137" s="850" t="s">
        <v>414</v>
      </c>
      <c r="E137" s="815"/>
      <c r="F137" s="878"/>
      <c r="G137" s="852" t="s">
        <v>45</v>
      </c>
      <c r="H137" s="866"/>
      <c r="I137" s="819">
        <v>98600</v>
      </c>
      <c r="J137" s="854"/>
      <c r="L137" s="796"/>
      <c r="M137" s="780"/>
      <c r="N137" s="780"/>
      <c r="O137" s="780"/>
      <c r="P137" s="780"/>
      <c r="Q137" s="780"/>
      <c r="R137" s="781" t="e">
        <f>#REF!</f>
        <v>#REF!</v>
      </c>
      <c r="S137" s="782" t="e">
        <f>#REF!</f>
        <v>#REF!</v>
      </c>
      <c r="T137" s="780" t="e">
        <f>#REF!</f>
        <v>#REF!</v>
      </c>
    </row>
    <row r="138" spans="2:20" ht="15" customHeight="1">
      <c r="B138" s="849">
        <f t="shared" si="3"/>
        <v>72</v>
      </c>
      <c r="C138" s="813"/>
      <c r="D138" s="850" t="s">
        <v>469</v>
      </c>
      <c r="E138" s="815"/>
      <c r="F138" s="878"/>
      <c r="G138" s="852" t="s">
        <v>45</v>
      </c>
      <c r="H138" s="866"/>
      <c r="I138" s="819">
        <v>87500</v>
      </c>
      <c r="J138" s="854"/>
      <c r="L138" s="796"/>
      <c r="M138" s="780"/>
      <c r="N138" s="780"/>
      <c r="O138" s="780"/>
      <c r="P138" s="780"/>
      <c r="Q138" s="780"/>
      <c r="R138" s="781"/>
      <c r="S138" s="782"/>
      <c r="T138" s="780"/>
    </row>
    <row r="139" spans="2:20" ht="15" customHeight="1">
      <c r="B139" s="849">
        <f t="shared" si="3"/>
        <v>73</v>
      </c>
      <c r="C139" s="813"/>
      <c r="D139" s="850" t="s">
        <v>15</v>
      </c>
      <c r="E139" s="856"/>
      <c r="F139" s="879"/>
      <c r="G139" s="852" t="s">
        <v>43</v>
      </c>
      <c r="H139" s="853"/>
      <c r="I139" s="819">
        <v>46000</v>
      </c>
      <c r="J139" s="854"/>
      <c r="L139" s="796"/>
      <c r="M139" s="780"/>
      <c r="N139" s="780"/>
      <c r="O139" s="780"/>
      <c r="P139" s="780"/>
      <c r="Q139" s="780"/>
      <c r="R139" s="781" t="e">
        <f>#REF!</f>
        <v>#REF!</v>
      </c>
      <c r="S139" s="782" t="e">
        <f>#REF!</f>
        <v>#REF!</v>
      </c>
      <c r="T139" s="780" t="e">
        <f>#REF!</f>
        <v>#REF!</v>
      </c>
    </row>
    <row r="140" spans="2:20" ht="15" customHeight="1">
      <c r="B140" s="849">
        <f t="shared" si="3"/>
        <v>74</v>
      </c>
      <c r="C140" s="813"/>
      <c r="D140" s="873" t="s">
        <v>147</v>
      </c>
      <c r="E140" s="815"/>
      <c r="F140" s="857"/>
      <c r="G140" s="817" t="s">
        <v>73</v>
      </c>
      <c r="H140" s="853"/>
      <c r="I140" s="819">
        <v>4000</v>
      </c>
      <c r="J140" s="854"/>
      <c r="L140" s="796"/>
      <c r="M140" s="780"/>
      <c r="N140" s="780"/>
      <c r="O140" s="780"/>
      <c r="P140" s="780"/>
      <c r="Q140" s="780"/>
      <c r="R140" s="781" t="e">
        <f>#REF!</f>
        <v>#REF!</v>
      </c>
      <c r="S140" s="782" t="e">
        <f>#REF!</f>
        <v>#REF!</v>
      </c>
      <c r="T140" s="780" t="e">
        <f>#REF!</f>
        <v>#REF!</v>
      </c>
    </row>
    <row r="141" spans="2:20" ht="15" customHeight="1">
      <c r="B141" s="849">
        <f t="shared" si="3"/>
        <v>75</v>
      </c>
      <c r="C141" s="813"/>
      <c r="D141" s="850" t="s">
        <v>22</v>
      </c>
      <c r="E141" s="815"/>
      <c r="F141" s="880"/>
      <c r="G141" s="852" t="s">
        <v>51</v>
      </c>
      <c r="H141" s="853"/>
      <c r="I141" s="819">
        <v>466900</v>
      </c>
      <c r="J141" s="854"/>
      <c r="L141" s="796"/>
      <c r="M141" s="780"/>
      <c r="N141" s="780"/>
      <c r="O141" s="780"/>
      <c r="P141" s="780"/>
      <c r="Q141" s="780"/>
      <c r="R141" s="781" t="e">
        <f>#REF!</f>
        <v>#REF!</v>
      </c>
      <c r="S141" s="782" t="e">
        <f>#REF!</f>
        <v>#REF!</v>
      </c>
      <c r="T141" s="780" t="e">
        <f>#REF!</f>
        <v>#REF!</v>
      </c>
    </row>
    <row r="142" spans="2:20" ht="15" customHeight="1">
      <c r="B142" s="849">
        <f t="shared" si="3"/>
        <v>76</v>
      </c>
      <c r="C142" s="813"/>
      <c r="D142" s="850" t="s">
        <v>27</v>
      </c>
      <c r="E142" s="815"/>
      <c r="F142" s="880"/>
      <c r="G142" s="852" t="s">
        <v>51</v>
      </c>
      <c r="H142" s="853"/>
      <c r="I142" s="819">
        <v>500000</v>
      </c>
      <c r="J142" s="854"/>
      <c r="L142" s="796"/>
      <c r="M142" s="780"/>
      <c r="N142" s="780"/>
      <c r="O142" s="780"/>
      <c r="P142" s="780"/>
      <c r="Q142" s="780"/>
      <c r="R142" s="781" t="e">
        <f>#REF!</f>
        <v>#REF!</v>
      </c>
      <c r="S142" s="782" t="e">
        <f>#REF!</f>
        <v>#REF!</v>
      </c>
      <c r="T142" s="780" t="e">
        <f>#REF!</f>
        <v>#REF!</v>
      </c>
    </row>
    <row r="143" spans="2:20" ht="15" customHeight="1">
      <c r="B143" s="849">
        <f t="shared" si="3"/>
        <v>77</v>
      </c>
      <c r="C143" s="813"/>
      <c r="D143" s="850" t="s">
        <v>172</v>
      </c>
      <c r="E143" s="815"/>
      <c r="F143" s="880"/>
      <c r="G143" s="852" t="s">
        <v>32</v>
      </c>
      <c r="H143" s="853"/>
      <c r="I143" s="819">
        <v>105000</v>
      </c>
      <c r="J143" s="854"/>
      <c r="L143" s="796"/>
      <c r="M143" s="780"/>
      <c r="N143" s="780"/>
      <c r="O143" s="780"/>
      <c r="P143" s="780"/>
      <c r="Q143" s="780"/>
      <c r="R143" s="781" t="e">
        <f>#REF!</f>
        <v>#REF!</v>
      </c>
      <c r="S143" s="782" t="e">
        <f>#REF!</f>
        <v>#REF!</v>
      </c>
      <c r="T143" s="780" t="e">
        <f>#REF!</f>
        <v>#REF!</v>
      </c>
    </row>
    <row r="144" spans="2:20" ht="15" customHeight="1">
      <c r="B144" s="849">
        <f t="shared" si="3"/>
        <v>78</v>
      </c>
      <c r="C144" s="813"/>
      <c r="D144" s="850" t="s">
        <v>142</v>
      </c>
      <c r="E144" s="881"/>
      <c r="F144" s="880"/>
      <c r="G144" s="852" t="s">
        <v>45</v>
      </c>
      <c r="H144" s="866"/>
      <c r="I144" s="819">
        <v>3000</v>
      </c>
      <c r="J144" s="854"/>
      <c r="L144" s="796"/>
      <c r="M144" s="780"/>
      <c r="N144" s="780"/>
      <c r="O144" s="780"/>
      <c r="P144" s="780"/>
      <c r="Q144" s="780"/>
      <c r="R144" s="780"/>
      <c r="S144" s="782"/>
      <c r="T144" s="780"/>
    </row>
    <row r="145" spans="2:20" ht="15" customHeight="1">
      <c r="B145" s="849">
        <f t="shared" si="3"/>
        <v>79</v>
      </c>
      <c r="C145" s="882"/>
      <c r="D145" s="866" t="s">
        <v>293</v>
      </c>
      <c r="E145" s="883"/>
      <c r="F145" s="883"/>
      <c r="G145" s="884" t="s">
        <v>50</v>
      </c>
      <c r="H145" s="885"/>
      <c r="I145" s="819">
        <v>8000</v>
      </c>
      <c r="J145" s="854"/>
      <c r="L145" s="796"/>
      <c r="M145" s="780"/>
      <c r="N145" s="780"/>
      <c r="O145" s="780"/>
      <c r="P145" s="780"/>
      <c r="Q145" s="780"/>
      <c r="R145" s="781"/>
      <c r="S145" s="782"/>
      <c r="T145" s="780"/>
    </row>
    <row r="146" spans="2:20" ht="15" customHeight="1">
      <c r="B146" s="849">
        <f t="shared" si="3"/>
        <v>80</v>
      </c>
      <c r="C146" s="882"/>
      <c r="D146" s="866" t="s">
        <v>294</v>
      </c>
      <c r="E146" s="883"/>
      <c r="F146" s="883"/>
      <c r="G146" s="884" t="s">
        <v>45</v>
      </c>
      <c r="H146" s="885"/>
      <c r="I146" s="819">
        <v>2500</v>
      </c>
      <c r="J146" s="854"/>
      <c r="L146" s="796"/>
      <c r="M146" s="780"/>
      <c r="N146" s="780"/>
      <c r="O146" s="780"/>
      <c r="P146" s="780"/>
      <c r="Q146" s="780"/>
      <c r="R146" s="781"/>
      <c r="S146" s="782"/>
      <c r="T146" s="780"/>
    </row>
    <row r="147" spans="2:20" ht="15" customHeight="1">
      <c r="B147" s="849">
        <f t="shared" si="3"/>
        <v>81</v>
      </c>
      <c r="C147" s="882"/>
      <c r="D147" s="866" t="s">
        <v>295</v>
      </c>
      <c r="E147" s="883"/>
      <c r="F147" s="883"/>
      <c r="G147" s="884" t="s">
        <v>45</v>
      </c>
      <c r="H147" s="885"/>
      <c r="I147" s="819">
        <v>2000</v>
      </c>
      <c r="J147" s="854"/>
      <c r="L147" s="796"/>
      <c r="M147" s="780"/>
      <c r="N147" s="780"/>
      <c r="O147" s="780"/>
      <c r="P147" s="780"/>
      <c r="Q147" s="780"/>
      <c r="R147" s="781"/>
      <c r="S147" s="782"/>
      <c r="T147" s="780"/>
    </row>
    <row r="148" spans="2:20" ht="15" customHeight="1">
      <c r="B148" s="849">
        <f t="shared" si="3"/>
        <v>82</v>
      </c>
      <c r="C148" s="813"/>
      <c r="D148" s="850" t="s">
        <v>177</v>
      </c>
      <c r="E148" s="881"/>
      <c r="F148" s="880"/>
      <c r="G148" s="852" t="s">
        <v>190</v>
      </c>
      <c r="H148" s="866"/>
      <c r="I148" s="819">
        <v>45000</v>
      </c>
      <c r="J148" s="854"/>
      <c r="L148" s="796"/>
      <c r="M148" s="780"/>
      <c r="N148" s="780"/>
      <c r="O148" s="780"/>
      <c r="P148" s="780"/>
      <c r="Q148" s="780"/>
      <c r="R148" s="781"/>
      <c r="S148" s="782"/>
      <c r="T148" s="780"/>
    </row>
    <row r="149" spans="2:20" ht="15" customHeight="1">
      <c r="B149" s="849">
        <f t="shared" si="3"/>
        <v>83</v>
      </c>
      <c r="C149" s="813"/>
      <c r="D149" s="850" t="s">
        <v>123</v>
      </c>
      <c r="E149" s="881"/>
      <c r="F149" s="880"/>
      <c r="G149" s="852" t="s">
        <v>136</v>
      </c>
      <c r="H149" s="866"/>
      <c r="I149" s="819">
        <v>40000</v>
      </c>
      <c r="J149" s="854"/>
      <c r="L149" s="796"/>
      <c r="M149" s="780"/>
      <c r="N149" s="780"/>
      <c r="O149" s="780"/>
      <c r="P149" s="780"/>
      <c r="Q149" s="780"/>
      <c r="R149" s="781"/>
      <c r="S149" s="782"/>
      <c r="T149" s="780"/>
    </row>
    <row r="150" spans="2:20" ht="15" customHeight="1">
      <c r="B150" s="849">
        <f t="shared" si="3"/>
        <v>84</v>
      </c>
      <c r="C150" s="813"/>
      <c r="D150" s="850" t="s">
        <v>143</v>
      </c>
      <c r="E150" s="881"/>
      <c r="F150" s="880"/>
      <c r="G150" s="852" t="s">
        <v>45</v>
      </c>
      <c r="H150" s="866"/>
      <c r="I150" s="819">
        <v>1250</v>
      </c>
      <c r="J150" s="854"/>
      <c r="L150" s="796"/>
      <c r="M150" s="780"/>
      <c r="N150" s="780"/>
      <c r="O150" s="780"/>
      <c r="P150" s="780"/>
      <c r="Q150" s="780"/>
      <c r="R150" s="781"/>
      <c r="S150" s="782"/>
      <c r="T150" s="780"/>
    </row>
    <row r="151" spans="2:20" ht="15" customHeight="1">
      <c r="B151" s="849">
        <f t="shared" si="3"/>
        <v>85</v>
      </c>
      <c r="C151" s="813"/>
      <c r="D151" s="850" t="s">
        <v>144</v>
      </c>
      <c r="E151" s="881"/>
      <c r="F151" s="880"/>
      <c r="G151" s="852" t="s">
        <v>45</v>
      </c>
      <c r="H151" s="866"/>
      <c r="I151" s="819">
        <v>50000</v>
      </c>
      <c r="J151" s="854"/>
      <c r="L151" s="796"/>
      <c r="M151" s="780"/>
      <c r="N151" s="780"/>
      <c r="O151" s="780"/>
      <c r="P151" s="780"/>
      <c r="Q151" s="780"/>
      <c r="R151" s="781"/>
      <c r="S151" s="782"/>
      <c r="T151" s="780"/>
    </row>
    <row r="152" spans="2:20" ht="15" customHeight="1">
      <c r="B152" s="849">
        <f t="shared" si="3"/>
        <v>86</v>
      </c>
      <c r="C152" s="813"/>
      <c r="D152" s="850" t="s">
        <v>433</v>
      </c>
      <c r="E152" s="881"/>
      <c r="F152" s="880"/>
      <c r="G152" s="852" t="s">
        <v>434</v>
      </c>
      <c r="H152" s="866"/>
      <c r="I152" s="819">
        <v>1269</v>
      </c>
      <c r="J152" s="854"/>
      <c r="L152" s="796"/>
      <c r="M152" s="780"/>
      <c r="N152" s="780"/>
      <c r="O152" s="780"/>
      <c r="P152" s="780"/>
      <c r="Q152" s="780"/>
      <c r="R152" s="781"/>
      <c r="S152" s="782"/>
      <c r="T152" s="780"/>
    </row>
    <row r="153" spans="2:20" ht="15" customHeight="1">
      <c r="B153" s="849">
        <f t="shared" si="3"/>
        <v>87</v>
      </c>
      <c r="C153" s="813"/>
      <c r="D153" s="850" t="s">
        <v>435</v>
      </c>
      <c r="E153" s="881"/>
      <c r="F153" s="880"/>
      <c r="G153" s="852" t="s">
        <v>434</v>
      </c>
      <c r="H153" s="866"/>
      <c r="I153" s="819">
        <v>195</v>
      </c>
      <c r="J153" s="854"/>
      <c r="L153" s="796"/>
      <c r="M153" s="780"/>
      <c r="N153" s="780"/>
      <c r="O153" s="780"/>
      <c r="P153" s="780"/>
      <c r="Q153" s="780"/>
      <c r="R153" s="781"/>
      <c r="S153" s="782"/>
      <c r="T153" s="780"/>
    </row>
    <row r="154" spans="2:20" ht="15" customHeight="1" thickBot="1">
      <c r="B154" s="886">
        <f t="shared" si="3"/>
        <v>88</v>
      </c>
      <c r="C154" s="887"/>
      <c r="D154" s="888" t="s">
        <v>436</v>
      </c>
      <c r="E154" s="889"/>
      <c r="F154" s="890"/>
      <c r="G154" s="891" t="s">
        <v>434</v>
      </c>
      <c r="H154" s="892"/>
      <c r="I154" s="893">
        <v>40</v>
      </c>
      <c r="J154" s="894"/>
      <c r="L154" s="796"/>
      <c r="M154" s="780"/>
      <c r="N154" s="780"/>
      <c r="O154" s="780"/>
      <c r="P154" s="780"/>
      <c r="Q154" s="780"/>
      <c r="R154" s="781"/>
      <c r="S154" s="782"/>
      <c r="T154" s="780"/>
    </row>
    <row r="155" spans="2:20" ht="14.25">
      <c r="B155" s="506"/>
      <c r="D155" s="506"/>
      <c r="G155" s="506"/>
      <c r="M155" s="486"/>
      <c r="P155" s="506"/>
      <c r="Q155" s="506"/>
      <c r="R155" s="506"/>
      <c r="S155" s="485"/>
    </row>
    <row r="156" spans="2:20" ht="14.25">
      <c r="B156" s="485"/>
      <c r="H156" s="488" t="str">
        <f>RAB!$K$134</f>
        <v>Karanganyar,    Februari 2025</v>
      </c>
      <c r="R156" s="485"/>
      <c r="S156" s="485"/>
    </row>
    <row r="157" spans="2:20" ht="15" customHeight="1">
      <c r="H157" s="487" t="str">
        <f>RAB!$K$135</f>
        <v>PEJABAT PENANDATANGAN KONTRAK</v>
      </c>
    </row>
    <row r="158" spans="2:20" ht="15" customHeight="1">
      <c r="H158" s="487" t="str">
        <f>RAB!$K$136</f>
        <v>CAMAT JATEN</v>
      </c>
    </row>
    <row r="159" spans="2:20" ht="15" customHeight="1">
      <c r="H159" s="488"/>
    </row>
    <row r="160" spans="2:20" ht="15" customHeight="1">
      <c r="H160" s="488"/>
    </row>
    <row r="161" spans="8:8" ht="15" customHeight="1">
      <c r="H161" s="488"/>
    </row>
    <row r="162" spans="8:8" ht="15" customHeight="1">
      <c r="H162" s="488"/>
    </row>
    <row r="163" spans="8:8" ht="15" customHeight="1">
      <c r="H163" s="488"/>
    </row>
    <row r="164" spans="8:8" ht="15" customHeight="1">
      <c r="H164" s="772" t="str">
        <f>RAB!$K$142</f>
        <v>JULI PADMI HANDATANI, S.Sos., M.M</v>
      </c>
    </row>
    <row r="165" spans="8:8" ht="15" customHeight="1">
      <c r="H165" s="488" t="str">
        <f>RAB!$K$143</f>
        <v>NIP. 197407 15199503 2 004</v>
      </c>
    </row>
    <row r="166" spans="8:8" ht="15" customHeight="1">
      <c r="H166" s="488"/>
    </row>
    <row r="914" spans="9:9" ht="15" customHeight="1">
      <c r="I914" s="895">
        <f>'UPH-TNG'!I81</f>
        <v>8500</v>
      </c>
    </row>
  </sheetData>
  <mergeCells count="2">
    <mergeCell ref="B2:J2"/>
    <mergeCell ref="B3:J3"/>
  </mergeCells>
  <phoneticPr fontId="2" type="noConversion"/>
  <pageMargins left="1.299212598425197" right="0" top="0.59055118110236227" bottom="0.9055118110236221" header="0" footer="0"/>
  <pageSetup paperSize="5" scale="69" orientation="portrait" horizontalDpi="4294967294" verticalDpi="4294967294" r:id="rId1"/>
  <headerFooter alignWithMargins="0"/>
  <rowBreaks count="1" manualBreakCount="1">
    <brk id="8" max="9" man="1"/>
  </rowBreaks>
  <colBreaks count="1" manualBreakCount="1">
    <brk id="10" max="6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B1:AD211"/>
  <sheetViews>
    <sheetView topLeftCell="A94" zoomScale="85" zoomScaleNormal="85" workbookViewId="0">
      <selection activeCell="O123" sqref="O123"/>
    </sheetView>
  </sheetViews>
  <sheetFormatPr defaultRowHeight="12.75"/>
  <cols>
    <col min="1" max="1" width="3.7109375" customWidth="1"/>
    <col min="7" max="7" width="11" customWidth="1"/>
    <col min="8" max="8" width="14.85546875" customWidth="1"/>
    <col min="9" max="9" width="10" customWidth="1"/>
    <col min="10" max="10" width="4.7109375" customWidth="1"/>
    <col min="12" max="12" width="4.7109375" customWidth="1"/>
    <col min="14" max="14" width="4.7109375" customWidth="1"/>
    <col min="16" max="16" width="4.7109375" customWidth="1"/>
    <col min="18" max="18" width="4.7109375" customWidth="1"/>
    <col min="19" max="19" width="10.140625" customWidth="1"/>
    <col min="20" max="20" width="12.140625" customWidth="1"/>
    <col min="22" max="22" width="4.140625" customWidth="1"/>
    <col min="23" max="23" width="12.7109375" customWidth="1"/>
    <col min="24" max="24" width="10.5703125" bestFit="1" customWidth="1"/>
    <col min="25" max="25" width="10.85546875" customWidth="1"/>
  </cols>
  <sheetData>
    <row r="1" spans="2:21">
      <c r="B1" s="290"/>
      <c r="C1" s="291"/>
      <c r="D1" s="290"/>
      <c r="E1" s="290"/>
      <c r="F1" s="290"/>
      <c r="G1" s="290"/>
      <c r="H1" s="292"/>
      <c r="I1" s="290"/>
      <c r="J1" s="290"/>
      <c r="K1" s="290"/>
      <c r="L1" s="290"/>
      <c r="M1" s="293"/>
      <c r="N1" s="290"/>
      <c r="O1" s="290"/>
      <c r="P1" s="290"/>
      <c r="Q1" s="290"/>
      <c r="R1" s="290"/>
      <c r="S1" s="294"/>
      <c r="T1" s="295"/>
      <c r="U1" s="296"/>
    </row>
    <row r="2" spans="2:21" ht="20.25">
      <c r="B2" s="998" t="s">
        <v>551</v>
      </c>
      <c r="C2" s="998"/>
      <c r="D2" s="998"/>
      <c r="E2" s="998"/>
      <c r="F2" s="998"/>
      <c r="G2" s="998"/>
      <c r="H2" s="998"/>
      <c r="I2" s="998"/>
      <c r="J2" s="998"/>
      <c r="K2" s="998"/>
      <c r="L2" s="998"/>
      <c r="M2" s="998"/>
      <c r="N2" s="998"/>
      <c r="O2" s="998"/>
      <c r="P2" s="998"/>
      <c r="Q2" s="998"/>
      <c r="R2" s="998"/>
      <c r="S2" s="998"/>
      <c r="T2" s="998"/>
      <c r="U2" s="998"/>
    </row>
    <row r="3" spans="2:21" ht="20.25">
      <c r="B3" s="998"/>
      <c r="C3" s="998"/>
      <c r="D3" s="998"/>
      <c r="E3" s="998"/>
      <c r="F3" s="998"/>
      <c r="G3" s="998"/>
      <c r="H3" s="998"/>
      <c r="I3" s="998"/>
      <c r="J3" s="998"/>
      <c r="K3" s="998"/>
      <c r="L3" s="998"/>
      <c r="M3" s="998"/>
      <c r="N3" s="998"/>
      <c r="O3" s="297"/>
      <c r="P3" s="297"/>
      <c r="Q3" s="297"/>
      <c r="R3" s="298"/>
      <c r="S3" s="299"/>
      <c r="T3" s="300"/>
      <c r="U3" s="301"/>
    </row>
    <row r="4" spans="2:21" ht="15">
      <c r="B4" s="302"/>
      <c r="C4" s="303" t="str">
        <f>RAB!D13</f>
        <v>PEKERJAAN</v>
      </c>
      <c r="D4" s="301"/>
      <c r="E4" s="301"/>
      <c r="F4" s="304" t="s">
        <v>103</v>
      </c>
      <c r="G4" s="305" t="str">
        <f>RAB!F13</f>
        <v>BELANJA MODAL BANGUNAN TEMPAT IBADAH</v>
      </c>
      <c r="H4" s="306"/>
      <c r="I4" s="298"/>
      <c r="J4" s="302"/>
      <c r="K4" s="298"/>
      <c r="L4" s="298"/>
      <c r="M4" s="307"/>
      <c r="N4" s="298"/>
      <c r="O4" s="298"/>
      <c r="P4" s="298"/>
      <c r="Q4" s="298"/>
      <c r="R4" s="298"/>
      <c r="S4" s="299"/>
      <c r="T4" s="300"/>
      <c r="U4" s="298"/>
    </row>
    <row r="5" spans="2:21" ht="15">
      <c r="B5" s="302"/>
      <c r="C5" s="303" t="str">
        <f>RAB!D14</f>
        <v>L O K A S I</v>
      </c>
      <c r="D5" s="301"/>
      <c r="E5" s="301"/>
      <c r="F5" s="304" t="s">
        <v>103</v>
      </c>
      <c r="G5" s="305" t="str">
        <f>RAB!F14</f>
        <v>KECAMATAN JATEN</v>
      </c>
      <c r="H5" s="306"/>
      <c r="I5" s="298"/>
      <c r="J5" s="302"/>
      <c r="K5" s="298"/>
      <c r="L5" s="298"/>
      <c r="M5" s="307"/>
      <c r="N5" s="298"/>
      <c r="O5" s="298"/>
      <c r="P5" s="298"/>
      <c r="Q5" s="298"/>
      <c r="R5" s="298"/>
      <c r="S5" s="299"/>
      <c r="T5" s="300"/>
      <c r="U5" s="298"/>
    </row>
    <row r="6" spans="2:21" ht="15">
      <c r="B6" s="302"/>
      <c r="C6" s="303" t="str">
        <f>RAB!D15</f>
        <v>KABUPATEN</v>
      </c>
      <c r="D6" s="301"/>
      <c r="E6" s="301"/>
      <c r="F6" s="304" t="s">
        <v>103</v>
      </c>
      <c r="G6" s="305" t="str">
        <f>RAB!F15</f>
        <v>KARANGANYAR</v>
      </c>
      <c r="H6" s="306"/>
      <c r="I6" s="298"/>
      <c r="J6" s="302"/>
      <c r="K6" s="298"/>
      <c r="L6" s="298"/>
      <c r="M6" s="307"/>
      <c r="N6" s="298"/>
      <c r="O6" s="298"/>
      <c r="P6" s="298"/>
      <c r="Q6" s="298"/>
      <c r="R6" s="298"/>
      <c r="S6" s="299"/>
      <c r="T6" s="300"/>
      <c r="U6" s="298"/>
    </row>
    <row r="7" spans="2:21" ht="15">
      <c r="B7" s="302"/>
      <c r="C7" s="303" t="str">
        <f>RAB!D16</f>
        <v>SUMBER DANA</v>
      </c>
      <c r="D7" s="301"/>
      <c r="E7" s="301"/>
      <c r="F7" s="304" t="s">
        <v>103</v>
      </c>
      <c r="G7" s="305" t="str">
        <f>RAB!F16</f>
        <v>DANA ALOKASI UMUM (DAU)</v>
      </c>
      <c r="H7" s="306"/>
      <c r="I7" s="298"/>
      <c r="J7" s="302"/>
      <c r="K7" s="298"/>
      <c r="L7" s="298"/>
      <c r="M7" s="307"/>
      <c r="N7" s="298"/>
      <c r="O7" s="298"/>
      <c r="P7" s="298"/>
      <c r="Q7" s="298"/>
      <c r="R7" s="298"/>
      <c r="S7" s="299"/>
      <c r="T7" s="300"/>
      <c r="U7" s="298"/>
    </row>
    <row r="8" spans="2:21" ht="15">
      <c r="B8" s="302"/>
      <c r="C8" s="303" t="str">
        <f>RAB!D17</f>
        <v>TAHUN ANGGARAN</v>
      </c>
      <c r="D8" s="301"/>
      <c r="E8" s="301"/>
      <c r="F8" s="304" t="s">
        <v>103</v>
      </c>
      <c r="G8" s="416">
        <f>RAB!F17</f>
        <v>2025</v>
      </c>
      <c r="H8" s="306"/>
      <c r="I8" s="298"/>
      <c r="J8" s="302"/>
      <c r="K8" s="298"/>
      <c r="L8" s="298"/>
      <c r="M8" s="307"/>
      <c r="N8" s="298"/>
      <c r="O8" s="298"/>
      <c r="P8" s="298"/>
      <c r="Q8" s="298"/>
      <c r="R8" s="298"/>
      <c r="S8" s="299"/>
      <c r="T8" s="300"/>
      <c r="U8" s="298"/>
    </row>
    <row r="9" spans="2:21" ht="15">
      <c r="B9" s="302"/>
      <c r="C9" s="303"/>
      <c r="D9" s="301"/>
      <c r="E9" s="301"/>
      <c r="F9" s="304"/>
      <c r="G9" s="305"/>
      <c r="H9" s="306"/>
      <c r="I9" s="298"/>
      <c r="J9" s="302"/>
      <c r="K9" s="298"/>
      <c r="L9" s="298"/>
      <c r="M9" s="307"/>
      <c r="N9" s="298"/>
      <c r="O9" s="298"/>
      <c r="P9" s="298"/>
      <c r="Q9" s="298"/>
      <c r="R9" s="298"/>
      <c r="S9" s="299"/>
      <c r="T9" s="300"/>
      <c r="U9" s="298"/>
    </row>
    <row r="10" spans="2:21" ht="13.5" thickBot="1">
      <c r="B10" s="290"/>
      <c r="C10" s="291"/>
      <c r="D10" s="290"/>
      <c r="E10" s="290"/>
      <c r="F10" s="290"/>
      <c r="G10" s="290"/>
      <c r="H10" s="292"/>
      <c r="I10" s="290"/>
      <c r="J10" s="290"/>
      <c r="K10" s="290"/>
      <c r="L10" s="290"/>
      <c r="M10" s="293"/>
      <c r="N10" s="290"/>
      <c r="O10" s="290"/>
      <c r="P10" s="290"/>
      <c r="Q10" s="290"/>
      <c r="R10" s="290"/>
      <c r="S10" s="294"/>
      <c r="T10" s="295"/>
      <c r="U10" s="296"/>
    </row>
    <row r="11" spans="2:21" ht="26.25" thickBot="1">
      <c r="B11" s="308" t="s">
        <v>120</v>
      </c>
      <c r="C11" s="999" t="s">
        <v>121</v>
      </c>
      <c r="D11" s="1000"/>
      <c r="E11" s="1000"/>
      <c r="F11" s="1000"/>
      <c r="G11" s="1000"/>
      <c r="H11" s="1001"/>
      <c r="I11" s="309"/>
      <c r="J11" s="310"/>
      <c r="K11" s="310"/>
      <c r="L11" s="310"/>
      <c r="M11" s="311"/>
      <c r="N11" s="310" t="s">
        <v>533</v>
      </c>
      <c r="O11" s="310"/>
      <c r="P11" s="310"/>
      <c r="Q11" s="310"/>
      <c r="R11" s="310"/>
      <c r="S11" s="312"/>
      <c r="T11" s="313" t="s">
        <v>534</v>
      </c>
      <c r="U11" s="314" t="s">
        <v>310</v>
      </c>
    </row>
    <row r="12" spans="2:21" ht="13.5" thickTop="1">
      <c r="B12" s="315"/>
      <c r="C12" s="316"/>
      <c r="D12" s="317"/>
      <c r="E12" s="318"/>
      <c r="F12" s="318"/>
      <c r="G12" s="318"/>
      <c r="H12" s="319"/>
      <c r="I12" s="320"/>
      <c r="J12" s="321"/>
      <c r="K12" s="321"/>
      <c r="L12" s="321"/>
      <c r="M12" s="322"/>
      <c r="N12" s="321"/>
      <c r="O12" s="321"/>
      <c r="P12" s="321"/>
      <c r="Q12" s="321"/>
      <c r="R12" s="321"/>
      <c r="S12" s="323"/>
      <c r="T12" s="324"/>
      <c r="U12" s="325"/>
    </row>
    <row r="13" spans="2:21">
      <c r="B13" s="326" t="str">
        <f>RAB!B25</f>
        <v>I</v>
      </c>
      <c r="C13" s="327" t="str">
        <f>RAB!D25</f>
        <v>PEKERJAAN PERSIAPAN</v>
      </c>
      <c r="D13" s="328"/>
      <c r="E13" s="318"/>
      <c r="F13" s="318"/>
      <c r="G13" s="318"/>
      <c r="H13" s="319"/>
      <c r="I13" s="320" t="s">
        <v>535</v>
      </c>
      <c r="J13" s="321" t="s">
        <v>167</v>
      </c>
      <c r="K13" s="321" t="s">
        <v>536</v>
      </c>
      <c r="L13" s="321" t="s">
        <v>167</v>
      </c>
      <c r="M13" s="322" t="s">
        <v>537</v>
      </c>
      <c r="N13" s="321" t="s">
        <v>167</v>
      </c>
      <c r="O13" s="321" t="s">
        <v>538</v>
      </c>
      <c r="P13" s="321"/>
      <c r="Q13" s="321"/>
      <c r="R13" s="321" t="s">
        <v>539</v>
      </c>
      <c r="S13" s="323" t="s">
        <v>540</v>
      </c>
      <c r="T13" s="324"/>
      <c r="U13" s="325"/>
    </row>
    <row r="14" spans="2:21">
      <c r="B14" s="329">
        <f>RAB!B26</f>
        <v>1</v>
      </c>
      <c r="C14" s="330" t="str">
        <f>RAB!D26</f>
        <v xml:space="preserve">Pengukuran dan pemasangan bouwplank  </v>
      </c>
      <c r="D14" s="317"/>
      <c r="E14" s="318"/>
      <c r="F14" s="318"/>
      <c r="G14" s="318"/>
      <c r="H14" s="319"/>
      <c r="I14" s="331">
        <v>1</v>
      </c>
      <c r="J14" s="321" t="s">
        <v>167</v>
      </c>
      <c r="K14" s="321"/>
      <c r="L14" s="321" t="s">
        <v>167</v>
      </c>
      <c r="M14" s="322"/>
      <c r="N14" s="321" t="s">
        <v>167</v>
      </c>
      <c r="O14" s="321">
        <v>15</v>
      </c>
      <c r="P14" s="321"/>
      <c r="Q14" s="321"/>
      <c r="R14" s="321" t="s">
        <v>539</v>
      </c>
      <c r="S14" s="323">
        <f>I14*O14</f>
        <v>15</v>
      </c>
      <c r="T14" s="324">
        <f>S14</f>
        <v>15</v>
      </c>
      <c r="U14" s="332" t="s">
        <v>32</v>
      </c>
    </row>
    <row r="15" spans="2:21">
      <c r="B15" s="329">
        <f>RAB!B27</f>
        <v>2</v>
      </c>
      <c r="C15" s="330" t="str">
        <f>RAB!D27</f>
        <v>Penyelenggaraan K3</v>
      </c>
      <c r="D15" s="317"/>
      <c r="E15" s="318"/>
      <c r="F15" s="318"/>
      <c r="G15" s="318"/>
      <c r="H15" s="319"/>
      <c r="I15" s="333">
        <v>1</v>
      </c>
      <c r="J15" s="321"/>
      <c r="K15" s="321"/>
      <c r="L15" s="321"/>
      <c r="M15" s="322"/>
      <c r="N15" s="321"/>
      <c r="O15" s="321"/>
      <c r="P15" s="321"/>
      <c r="Q15" s="321"/>
      <c r="R15" s="321" t="s">
        <v>539</v>
      </c>
      <c r="S15" s="323">
        <f>I15</f>
        <v>1</v>
      </c>
      <c r="T15" s="324">
        <f t="shared" ref="T15:T16" si="0">S15</f>
        <v>1</v>
      </c>
      <c r="U15" s="334" t="s">
        <v>49</v>
      </c>
    </row>
    <row r="16" spans="2:21">
      <c r="B16" s="329">
        <f>RAB!B28</f>
        <v>3</v>
      </c>
      <c r="C16" s="330" t="str">
        <f>RAB!D28</f>
        <v>Pembersihan lapangan</v>
      </c>
      <c r="D16" s="317"/>
      <c r="E16" s="318"/>
      <c r="F16" s="318"/>
      <c r="G16" s="318"/>
      <c r="H16" s="319"/>
      <c r="I16" s="333">
        <v>1</v>
      </c>
      <c r="J16" s="321"/>
      <c r="K16" s="322"/>
      <c r="L16" s="321"/>
      <c r="M16" s="322"/>
      <c r="N16" s="321"/>
      <c r="O16" s="321"/>
      <c r="P16" s="321"/>
      <c r="Q16" s="321"/>
      <c r="R16" s="321" t="s">
        <v>539</v>
      </c>
      <c r="S16" s="323">
        <f t="shared" ref="S16" si="1">I16</f>
        <v>1</v>
      </c>
      <c r="T16" s="324">
        <f t="shared" si="0"/>
        <v>1</v>
      </c>
      <c r="U16" s="334" t="s">
        <v>49</v>
      </c>
    </row>
    <row r="17" spans="2:23">
      <c r="B17" s="326"/>
      <c r="C17" s="327"/>
      <c r="D17" s="317"/>
      <c r="E17" s="318"/>
      <c r="F17" s="318"/>
      <c r="G17" s="318"/>
      <c r="H17" s="319"/>
      <c r="I17" s="333"/>
      <c r="J17" s="321"/>
      <c r="K17" s="322"/>
      <c r="L17" s="321"/>
      <c r="M17" s="322"/>
      <c r="N17" s="321"/>
      <c r="O17" s="321"/>
      <c r="P17" s="321"/>
      <c r="Q17" s="321"/>
      <c r="R17" s="321"/>
      <c r="S17" s="323"/>
      <c r="T17" s="324"/>
      <c r="U17" s="332"/>
    </row>
    <row r="18" spans="2:23">
      <c r="B18" s="326"/>
      <c r="C18" s="327"/>
      <c r="D18" s="317"/>
      <c r="E18" s="318"/>
      <c r="F18" s="318"/>
      <c r="G18" s="318"/>
      <c r="H18" s="319"/>
      <c r="I18" s="337"/>
      <c r="J18" s="321"/>
      <c r="K18" s="345"/>
      <c r="L18" s="321"/>
      <c r="M18" s="322"/>
      <c r="N18" s="321"/>
      <c r="O18" s="321"/>
      <c r="P18" s="321"/>
      <c r="Q18" s="321"/>
      <c r="R18" s="321"/>
      <c r="S18" s="323"/>
      <c r="T18" s="324"/>
      <c r="U18" s="334"/>
    </row>
    <row r="19" spans="2:23">
      <c r="B19" s="326"/>
      <c r="C19" s="327"/>
      <c r="D19" s="317"/>
      <c r="E19" s="318"/>
      <c r="F19" s="318"/>
      <c r="G19" s="318"/>
      <c r="H19" s="319"/>
      <c r="I19" s="337"/>
      <c r="J19" s="321"/>
      <c r="K19" s="345"/>
      <c r="L19" s="321"/>
      <c r="M19" s="322"/>
      <c r="N19" s="321"/>
      <c r="O19" s="321"/>
      <c r="P19" s="321"/>
      <c r="Q19" s="321"/>
      <c r="R19" s="321"/>
      <c r="S19" s="323"/>
      <c r="T19" s="324"/>
      <c r="U19" s="334"/>
    </row>
    <row r="20" spans="2:23">
      <c r="B20" s="326" t="str">
        <f>RAB!B31</f>
        <v>II</v>
      </c>
      <c r="C20" s="327" t="str">
        <f>RAB!D31</f>
        <v>PEKERJAAN TANAH</v>
      </c>
      <c r="D20" s="317"/>
      <c r="E20" s="318"/>
      <c r="F20" s="318"/>
      <c r="G20" s="318"/>
      <c r="H20" s="319"/>
      <c r="I20" s="320" t="s">
        <v>535</v>
      </c>
      <c r="J20" s="321" t="s">
        <v>167</v>
      </c>
      <c r="K20" s="321" t="s">
        <v>536</v>
      </c>
      <c r="L20" s="321" t="s">
        <v>167</v>
      </c>
      <c r="M20" s="322" t="s">
        <v>537</v>
      </c>
      <c r="N20" s="321" t="s">
        <v>167</v>
      </c>
      <c r="O20" s="321" t="s">
        <v>538</v>
      </c>
      <c r="P20" s="321"/>
      <c r="Q20" s="321"/>
      <c r="R20" s="321" t="s">
        <v>539</v>
      </c>
      <c r="S20" s="323" t="s">
        <v>540</v>
      </c>
      <c r="T20" s="324"/>
      <c r="U20" s="334"/>
    </row>
    <row r="21" spans="2:23">
      <c r="B21" s="329">
        <f>RAB!B32</f>
        <v>1</v>
      </c>
      <c r="C21" s="330" t="str">
        <f>RAB!D32</f>
        <v xml:space="preserve">Penggalian 1 m3 Tanah Biasa </v>
      </c>
      <c r="D21" s="317"/>
      <c r="E21" s="318"/>
      <c r="F21" s="318"/>
      <c r="G21" s="318"/>
      <c r="H21" s="319" t="s">
        <v>594</v>
      </c>
      <c r="I21" s="333">
        <f>5+9+5+9+(0.75*4)+(1.65*4)</f>
        <v>37.6</v>
      </c>
      <c r="J21" s="321" t="s">
        <v>167</v>
      </c>
      <c r="K21" s="322">
        <v>0.6</v>
      </c>
      <c r="L21" s="321" t="s">
        <v>167</v>
      </c>
      <c r="M21" s="322">
        <v>0.45</v>
      </c>
      <c r="N21" s="321"/>
      <c r="O21" s="321"/>
      <c r="P21" s="321"/>
      <c r="Q21" s="321"/>
      <c r="R21" s="321" t="s">
        <v>539</v>
      </c>
      <c r="S21" s="323">
        <f>I21*K21*M21</f>
        <v>10.151999999999999</v>
      </c>
      <c r="T21" s="324">
        <f>SUM(S21:S21)</f>
        <v>10.151999999999999</v>
      </c>
      <c r="U21" s="332" t="s">
        <v>68</v>
      </c>
    </row>
    <row r="22" spans="2:23">
      <c r="B22" s="329">
        <f>RAB!B33</f>
        <v>2</v>
      </c>
      <c r="C22" s="330" t="str">
        <f>RAB!D33</f>
        <v>Pengurugan Kembali 1 m3 Galian Tanah</v>
      </c>
      <c r="D22" s="317"/>
      <c r="E22" s="318"/>
      <c r="F22" s="318"/>
      <c r="G22" s="318"/>
      <c r="H22" s="319"/>
      <c r="I22" s="333">
        <f>T21</f>
        <v>10.151999999999999</v>
      </c>
      <c r="J22" s="321" t="s">
        <v>103</v>
      </c>
      <c r="K22" s="322">
        <v>3</v>
      </c>
      <c r="L22" s="321"/>
      <c r="M22" s="322"/>
      <c r="N22" s="321"/>
      <c r="O22" s="321"/>
      <c r="P22" s="321"/>
      <c r="Q22" s="321"/>
      <c r="R22" s="321" t="s">
        <v>539</v>
      </c>
      <c r="S22" s="323">
        <f>I22/K22</f>
        <v>3.3839999999999999</v>
      </c>
      <c r="T22" s="324">
        <f>S22</f>
        <v>3.3839999999999999</v>
      </c>
      <c r="U22" s="332" t="s">
        <v>68</v>
      </c>
      <c r="W22" s="336">
        <f>REKAP!L40</f>
        <v>129000</v>
      </c>
    </row>
    <row r="23" spans="2:23">
      <c r="B23" s="329">
        <f>RAB!B34</f>
        <v>3</v>
      </c>
      <c r="C23" s="330" t="str">
        <f>RAB!D34</f>
        <v>Urug tanah padat (Tanah cadas)</v>
      </c>
      <c r="D23" s="317"/>
      <c r="E23" s="318"/>
      <c r="F23" s="318"/>
      <c r="G23" s="318"/>
      <c r="H23" s="319"/>
      <c r="I23" s="333">
        <v>9</v>
      </c>
      <c r="J23" s="321" t="s">
        <v>167</v>
      </c>
      <c r="K23" s="322">
        <v>5</v>
      </c>
      <c r="L23" s="321" t="s">
        <v>167</v>
      </c>
      <c r="M23" s="322">
        <v>0.4</v>
      </c>
      <c r="N23" s="321"/>
      <c r="O23" s="321"/>
      <c r="P23" s="321"/>
      <c r="Q23" s="321"/>
      <c r="R23" s="321" t="s">
        <v>539</v>
      </c>
      <c r="S23" s="323">
        <f>I23*K23*M23</f>
        <v>18</v>
      </c>
      <c r="T23" s="324">
        <f>S23-T21</f>
        <v>7.8480000000000008</v>
      </c>
      <c r="U23" s="332" t="s">
        <v>68</v>
      </c>
      <c r="W23" s="336"/>
    </row>
    <row r="24" spans="2:23">
      <c r="B24" s="329">
        <f>RAB!B35</f>
        <v>4</v>
      </c>
      <c r="C24" s="330" t="str">
        <f>RAB!D35</f>
        <v>Pengurugan 1 m3 dengan Pasir Urug</v>
      </c>
      <c r="D24" s="317"/>
      <c r="E24" s="318"/>
      <c r="F24" s="318"/>
      <c r="G24" s="318"/>
      <c r="H24" s="319" t="s">
        <v>706</v>
      </c>
      <c r="I24" s="333">
        <v>9</v>
      </c>
      <c r="J24" s="321" t="s">
        <v>167</v>
      </c>
      <c r="K24" s="322">
        <v>5</v>
      </c>
      <c r="L24" s="321" t="s">
        <v>167</v>
      </c>
      <c r="M24" s="322">
        <v>0.05</v>
      </c>
      <c r="N24" s="321"/>
      <c r="O24" s="321"/>
      <c r="P24" s="321"/>
      <c r="Q24" s="321"/>
      <c r="R24" s="321" t="s">
        <v>539</v>
      </c>
      <c r="S24" s="323">
        <f>I24*K24*M24</f>
        <v>2.25</v>
      </c>
      <c r="T24" s="324">
        <f>SUM(S24:S25)</f>
        <v>3.19</v>
      </c>
      <c r="U24" s="332" t="s">
        <v>68</v>
      </c>
    </row>
    <row r="25" spans="2:23">
      <c r="B25" s="326"/>
      <c r="C25" s="327"/>
      <c r="D25" s="317"/>
      <c r="E25" s="318"/>
      <c r="F25" s="318"/>
      <c r="G25" s="318"/>
      <c r="H25" s="319" t="s">
        <v>594</v>
      </c>
      <c r="I25" s="333">
        <f>5+9+5+9+(0.75*4)+(1.65*4)</f>
        <v>37.6</v>
      </c>
      <c r="J25" s="321" t="s">
        <v>167</v>
      </c>
      <c r="K25" s="322">
        <v>0.5</v>
      </c>
      <c r="L25" s="321" t="s">
        <v>167</v>
      </c>
      <c r="M25" s="322">
        <v>0.05</v>
      </c>
      <c r="N25" s="321"/>
      <c r="O25" s="321"/>
      <c r="P25" s="321"/>
      <c r="Q25" s="321"/>
      <c r="R25" s="321" t="s">
        <v>539</v>
      </c>
      <c r="S25" s="323">
        <f>I25*K25*M25</f>
        <v>0.94000000000000006</v>
      </c>
      <c r="T25" s="324"/>
      <c r="U25" s="334"/>
    </row>
    <row r="26" spans="2:23">
      <c r="B26" s="326"/>
      <c r="C26" s="327"/>
      <c r="D26" s="317"/>
      <c r="E26" s="318"/>
      <c r="F26" s="318"/>
      <c r="G26" s="318"/>
      <c r="H26" s="319"/>
      <c r="I26" s="333"/>
      <c r="J26" s="321"/>
      <c r="K26" s="322"/>
      <c r="L26" s="321"/>
      <c r="M26" s="322"/>
      <c r="N26" s="321"/>
      <c r="O26" s="321"/>
      <c r="P26" s="321"/>
      <c r="Q26" s="321"/>
      <c r="R26" s="321"/>
      <c r="S26" s="323"/>
      <c r="T26" s="324"/>
      <c r="U26" s="334"/>
    </row>
    <row r="27" spans="2:23">
      <c r="B27" s="326" t="str">
        <f>RAB!B38</f>
        <v>III</v>
      </c>
      <c r="C27" s="327" t="str">
        <f>RAB!D38</f>
        <v>PEKERJAAN PASANGAN</v>
      </c>
      <c r="D27" s="317"/>
      <c r="E27" s="318"/>
      <c r="F27" s="318"/>
      <c r="G27" s="318"/>
      <c r="H27" s="319"/>
      <c r="I27" s="333"/>
      <c r="J27" s="321"/>
      <c r="K27" s="322"/>
      <c r="L27" s="321"/>
      <c r="M27" s="322"/>
      <c r="N27" s="321"/>
      <c r="O27" s="321"/>
      <c r="P27" s="321"/>
      <c r="Q27" s="321"/>
      <c r="R27" s="321"/>
      <c r="S27" s="323"/>
      <c r="T27" s="324"/>
      <c r="U27" s="334"/>
    </row>
    <row r="28" spans="2:23">
      <c r="B28" s="329">
        <f>RAB!B39</f>
        <v>1</v>
      </c>
      <c r="C28" s="330" t="str">
        <f>RAB!D39</f>
        <v>Memasang pondasi batu belah, campuran 1 PC : 8 PP</v>
      </c>
      <c r="D28" s="317"/>
      <c r="E28" s="318"/>
      <c r="F28" s="318"/>
      <c r="G28" s="318"/>
      <c r="H28" s="319"/>
      <c r="I28" s="333">
        <f>I21</f>
        <v>37.6</v>
      </c>
      <c r="J28" s="321" t="s">
        <v>167</v>
      </c>
      <c r="K28" s="322">
        <f>(0.3+0.5)/2</f>
        <v>0.4</v>
      </c>
      <c r="L28" s="321" t="s">
        <v>167</v>
      </c>
      <c r="M28" s="322">
        <v>0.6</v>
      </c>
      <c r="N28" s="321"/>
      <c r="O28" s="321"/>
      <c r="P28" s="321"/>
      <c r="Q28" s="321"/>
      <c r="R28" s="321" t="s">
        <v>539</v>
      </c>
      <c r="S28" s="323">
        <f>I28*K28*M28</f>
        <v>9.0240000000000009</v>
      </c>
      <c r="T28" s="324">
        <f>S28</f>
        <v>9.0240000000000009</v>
      </c>
      <c r="U28" s="334" t="s">
        <v>68</v>
      </c>
    </row>
    <row r="29" spans="2:23">
      <c r="B29" s="329"/>
      <c r="C29" s="330"/>
      <c r="D29" s="317"/>
      <c r="E29" s="318"/>
      <c r="F29" s="318"/>
      <c r="G29" s="318"/>
      <c r="H29" s="319"/>
      <c r="I29" s="333" t="s">
        <v>535</v>
      </c>
      <c r="J29" s="321"/>
      <c r="K29" s="322" t="s">
        <v>615</v>
      </c>
      <c r="L29" s="321"/>
      <c r="M29" s="322"/>
      <c r="N29" s="321"/>
      <c r="O29" s="321"/>
      <c r="P29" s="321"/>
      <c r="Q29" s="321"/>
      <c r="R29" s="321"/>
      <c r="S29" s="323"/>
      <c r="T29" s="324"/>
      <c r="U29" s="334"/>
    </row>
    <row r="30" spans="2:23">
      <c r="B30" s="329">
        <f>RAB!B40</f>
        <v>2</v>
      </c>
      <c r="C30" s="330" t="str">
        <f>RAB!D40</f>
        <v>Membuat dinding bt. merah t: 1/2bata, camp 1PC:8PP</v>
      </c>
      <c r="D30" s="317"/>
      <c r="E30" s="318"/>
      <c r="F30" s="318"/>
      <c r="G30" s="318"/>
      <c r="H30" s="319"/>
      <c r="I30" s="333">
        <f>5+9+5+9+(1.65*4)</f>
        <v>34.6</v>
      </c>
      <c r="J30" s="321" t="s">
        <v>167</v>
      </c>
      <c r="K30" s="322">
        <v>3.8</v>
      </c>
      <c r="L30" s="321"/>
      <c r="M30" s="322"/>
      <c r="N30" s="321"/>
      <c r="O30" s="321"/>
      <c r="P30" s="321"/>
      <c r="Q30" s="321"/>
      <c r="R30" s="321" t="s">
        <v>539</v>
      </c>
      <c r="S30" s="323">
        <f>I30*K30</f>
        <v>131.47999999999999</v>
      </c>
      <c r="T30" s="324">
        <f>SUM(S30:S32)-S48</f>
        <v>120.30499999999998</v>
      </c>
      <c r="U30" s="332" t="s">
        <v>100</v>
      </c>
    </row>
    <row r="31" spans="2:23">
      <c r="B31" s="329"/>
      <c r="C31" s="330"/>
      <c r="D31" s="317"/>
      <c r="E31" s="318"/>
      <c r="F31" s="318"/>
      <c r="G31" s="318"/>
      <c r="H31" s="319"/>
      <c r="I31" s="333">
        <f>0.6*4</f>
        <v>2.4</v>
      </c>
      <c r="J31" s="321" t="s">
        <v>167</v>
      </c>
      <c r="K31" s="322">
        <v>3.3</v>
      </c>
      <c r="L31" s="321"/>
      <c r="M31" s="322"/>
      <c r="N31" s="321"/>
      <c r="O31" s="321"/>
      <c r="P31" s="321"/>
      <c r="Q31" s="321"/>
      <c r="R31" s="321" t="s">
        <v>539</v>
      </c>
      <c r="S31" s="323">
        <f>I31*K31</f>
        <v>7.919999999999999</v>
      </c>
      <c r="T31" s="324"/>
      <c r="U31" s="332"/>
    </row>
    <row r="32" spans="2:23">
      <c r="B32" s="329"/>
      <c r="C32" s="330"/>
      <c r="D32" s="317"/>
      <c r="E32" s="318"/>
      <c r="F32" s="318"/>
      <c r="G32" s="318"/>
      <c r="H32" s="319" t="s">
        <v>719</v>
      </c>
      <c r="I32" s="333">
        <f>5+9+5+9</f>
        <v>28</v>
      </c>
      <c r="J32" s="321" t="s">
        <v>167</v>
      </c>
      <c r="K32" s="322">
        <v>0.5</v>
      </c>
      <c r="L32" s="321"/>
      <c r="M32" s="322"/>
      <c r="N32" s="321"/>
      <c r="O32" s="321"/>
      <c r="P32" s="321"/>
      <c r="Q32" s="321"/>
      <c r="R32" s="321" t="s">
        <v>539</v>
      </c>
      <c r="S32" s="323">
        <f>I32*K32</f>
        <v>14</v>
      </c>
      <c r="T32" s="324"/>
      <c r="U32" s="332"/>
    </row>
    <row r="33" spans="2:21">
      <c r="B33" s="329"/>
      <c r="C33" s="330"/>
      <c r="D33" s="317"/>
      <c r="E33" s="318"/>
      <c r="F33" s="318"/>
      <c r="G33" s="318"/>
      <c r="H33" s="428" t="s">
        <v>608</v>
      </c>
      <c r="I33" s="549"/>
      <c r="J33" s="346"/>
      <c r="K33" s="396"/>
      <c r="L33" s="346"/>
      <c r="M33" s="396"/>
      <c r="N33" s="346"/>
      <c r="O33" s="346"/>
      <c r="P33" s="346"/>
      <c r="Q33" s="346"/>
      <c r="R33" s="346"/>
      <c r="S33" s="323"/>
      <c r="T33" s="324"/>
      <c r="U33" s="332"/>
    </row>
    <row r="34" spans="2:21">
      <c r="B34" s="329"/>
      <c r="C34" s="330"/>
      <c r="D34" s="317"/>
      <c r="E34" s="318"/>
      <c r="F34" s="318"/>
      <c r="G34" s="318"/>
      <c r="H34" s="428" t="s">
        <v>713</v>
      </c>
      <c r="I34" s="549">
        <v>1.1000000000000001</v>
      </c>
      <c r="J34" s="346" t="s">
        <v>167</v>
      </c>
      <c r="K34" s="396">
        <v>2.2000000000000002</v>
      </c>
      <c r="L34" s="346" t="s">
        <v>167</v>
      </c>
      <c r="M34" s="396">
        <v>1</v>
      </c>
      <c r="N34" s="346"/>
      <c r="O34" s="346"/>
      <c r="P34" s="346"/>
      <c r="Q34" s="346"/>
      <c r="R34" s="346" t="s">
        <v>539</v>
      </c>
      <c r="S34" s="347">
        <f>I34*K34*M34</f>
        <v>2.4200000000000004</v>
      </c>
      <c r="T34" s="324"/>
      <c r="U34" s="332"/>
    </row>
    <row r="35" spans="2:21">
      <c r="B35" s="329"/>
      <c r="C35" s="330"/>
      <c r="D35" s="317"/>
      <c r="E35" s="318"/>
      <c r="F35" s="318"/>
      <c r="G35" s="318"/>
      <c r="H35" s="428" t="s">
        <v>714</v>
      </c>
      <c r="I35" s="549">
        <v>1.5</v>
      </c>
      <c r="J35" s="346" t="s">
        <v>167</v>
      </c>
      <c r="K35" s="396">
        <v>2.2000000000000002</v>
      </c>
      <c r="L35" s="346" t="s">
        <v>167</v>
      </c>
      <c r="M35" s="396">
        <v>1</v>
      </c>
      <c r="N35" s="346"/>
      <c r="O35" s="346"/>
      <c r="P35" s="346"/>
      <c r="Q35" s="346"/>
      <c r="R35" s="346" t="s">
        <v>539</v>
      </c>
      <c r="S35" s="347">
        <f t="shared" ref="S35:S47" si="2">I35*K35*M35</f>
        <v>3.3000000000000003</v>
      </c>
      <c r="T35" s="324"/>
      <c r="U35" s="332"/>
    </row>
    <row r="36" spans="2:21">
      <c r="B36" s="329"/>
      <c r="C36" s="330"/>
      <c r="D36" s="317"/>
      <c r="E36" s="318"/>
      <c r="F36" s="318"/>
      <c r="G36" s="318"/>
      <c r="H36" s="428" t="s">
        <v>715</v>
      </c>
      <c r="I36" s="549">
        <v>0.7</v>
      </c>
      <c r="J36" s="346" t="s">
        <v>167</v>
      </c>
      <c r="K36" s="396">
        <v>2.2000000000000002</v>
      </c>
      <c r="L36" s="346" t="s">
        <v>167</v>
      </c>
      <c r="M36" s="396">
        <v>1</v>
      </c>
      <c r="N36" s="346"/>
      <c r="O36" s="346"/>
      <c r="P36" s="346"/>
      <c r="Q36" s="346"/>
      <c r="R36" s="346" t="s">
        <v>539</v>
      </c>
      <c r="S36" s="347">
        <f t="shared" si="2"/>
        <v>1.54</v>
      </c>
      <c r="T36" s="324"/>
      <c r="U36" s="332"/>
    </row>
    <row r="37" spans="2:21">
      <c r="B37" s="329"/>
      <c r="C37" s="330"/>
      <c r="D37" s="317"/>
      <c r="E37" s="318"/>
      <c r="F37" s="318"/>
      <c r="G37" s="318"/>
      <c r="H37" s="428" t="s">
        <v>716</v>
      </c>
      <c r="I37" s="549">
        <v>1.05</v>
      </c>
      <c r="J37" s="346" t="s">
        <v>167</v>
      </c>
      <c r="K37" s="396">
        <v>1.35</v>
      </c>
      <c r="L37" s="346" t="s">
        <v>167</v>
      </c>
      <c r="M37" s="396">
        <v>2</v>
      </c>
      <c r="N37" s="346"/>
      <c r="O37" s="346"/>
      <c r="P37" s="346"/>
      <c r="Q37" s="346"/>
      <c r="R37" s="346" t="s">
        <v>539</v>
      </c>
      <c r="S37" s="347">
        <f t="shared" si="2"/>
        <v>2.8350000000000004</v>
      </c>
      <c r="T37" s="324"/>
      <c r="U37" s="332"/>
    </row>
    <row r="38" spans="2:21">
      <c r="B38" s="329"/>
      <c r="C38" s="330"/>
      <c r="D38" s="317"/>
      <c r="E38" s="318"/>
      <c r="F38" s="318"/>
      <c r="G38" s="318"/>
      <c r="H38" s="428" t="s">
        <v>717</v>
      </c>
      <c r="I38" s="549"/>
      <c r="J38" s="346"/>
      <c r="K38" s="396"/>
      <c r="L38" s="346"/>
      <c r="M38" s="396"/>
      <c r="N38" s="346"/>
      <c r="O38" s="346"/>
      <c r="P38" s="346"/>
      <c r="Q38" s="346"/>
      <c r="R38" s="346"/>
      <c r="S38" s="347"/>
      <c r="T38" s="324"/>
      <c r="U38" s="332"/>
    </row>
    <row r="39" spans="2:21">
      <c r="B39" s="329"/>
      <c r="C39" s="330"/>
      <c r="D39" s="317"/>
      <c r="E39" s="318"/>
      <c r="F39" s="318"/>
      <c r="G39" s="318"/>
      <c r="H39" s="428">
        <v>1</v>
      </c>
      <c r="I39" s="549">
        <v>2.1</v>
      </c>
      <c r="J39" s="346" t="s">
        <v>167</v>
      </c>
      <c r="K39" s="396">
        <v>2.1</v>
      </c>
      <c r="L39" s="346" t="s">
        <v>167</v>
      </c>
      <c r="M39" s="396">
        <v>1</v>
      </c>
      <c r="N39" s="346"/>
      <c r="O39" s="346"/>
      <c r="P39" s="346"/>
      <c r="Q39" s="346"/>
      <c r="R39" s="346" t="s">
        <v>539</v>
      </c>
      <c r="S39" s="347">
        <f t="shared" si="2"/>
        <v>4.41</v>
      </c>
      <c r="T39" s="324"/>
      <c r="U39" s="332"/>
    </row>
    <row r="40" spans="2:21">
      <c r="B40" s="329"/>
      <c r="C40" s="330"/>
      <c r="D40" s="317"/>
      <c r="E40" s="318"/>
      <c r="F40" s="318"/>
      <c r="G40" s="318"/>
      <c r="H40" s="428">
        <v>2</v>
      </c>
      <c r="I40" s="549">
        <v>0.6</v>
      </c>
      <c r="J40" s="346" t="s">
        <v>167</v>
      </c>
      <c r="K40" s="396">
        <v>2</v>
      </c>
      <c r="L40" s="346" t="s">
        <v>167</v>
      </c>
      <c r="M40" s="396">
        <v>3</v>
      </c>
      <c r="N40" s="346"/>
      <c r="O40" s="346"/>
      <c r="P40" s="346"/>
      <c r="Q40" s="346"/>
      <c r="R40" s="346" t="s">
        <v>539</v>
      </c>
      <c r="S40" s="347">
        <f t="shared" si="2"/>
        <v>3.5999999999999996</v>
      </c>
      <c r="T40" s="324"/>
      <c r="U40" s="332"/>
    </row>
    <row r="41" spans="2:21">
      <c r="B41" s="329"/>
      <c r="C41" s="330"/>
      <c r="D41" s="317"/>
      <c r="E41" s="318"/>
      <c r="F41" s="318"/>
      <c r="G41" s="318"/>
      <c r="H41" s="428">
        <v>3</v>
      </c>
      <c r="I41" s="549">
        <v>0.6</v>
      </c>
      <c r="J41" s="346" t="s">
        <v>167</v>
      </c>
      <c r="K41" s="396">
        <v>1.8</v>
      </c>
      <c r="L41" s="346" t="s">
        <v>167</v>
      </c>
      <c r="M41" s="396">
        <v>1</v>
      </c>
      <c r="N41" s="346"/>
      <c r="O41" s="346"/>
      <c r="P41" s="346"/>
      <c r="Q41" s="346"/>
      <c r="R41" s="346" t="s">
        <v>539</v>
      </c>
      <c r="S41" s="347">
        <f t="shared" si="2"/>
        <v>1.08</v>
      </c>
      <c r="T41" s="324"/>
      <c r="U41" s="332"/>
    </row>
    <row r="42" spans="2:21">
      <c r="B42" s="329"/>
      <c r="C42" s="330"/>
      <c r="D42" s="317"/>
      <c r="E42" s="318"/>
      <c r="F42" s="318"/>
      <c r="G42" s="318"/>
      <c r="H42" s="428">
        <v>4</v>
      </c>
      <c r="I42" s="549">
        <v>1.8</v>
      </c>
      <c r="J42" s="346" t="s">
        <v>167</v>
      </c>
      <c r="K42" s="396">
        <v>2</v>
      </c>
      <c r="L42" s="346" t="s">
        <v>167</v>
      </c>
      <c r="M42" s="396">
        <v>2</v>
      </c>
      <c r="N42" s="346"/>
      <c r="O42" s="346"/>
      <c r="P42" s="346"/>
      <c r="Q42" s="346"/>
      <c r="R42" s="346" t="s">
        <v>539</v>
      </c>
      <c r="S42" s="347">
        <f t="shared" si="2"/>
        <v>7.2</v>
      </c>
      <c r="T42" s="324"/>
      <c r="U42" s="332"/>
    </row>
    <row r="43" spans="2:21">
      <c r="B43" s="329"/>
      <c r="C43" s="330"/>
      <c r="D43" s="317"/>
      <c r="E43" s="318"/>
      <c r="F43" s="318"/>
      <c r="G43" s="318"/>
      <c r="H43" s="428">
        <v>5</v>
      </c>
      <c r="I43" s="549">
        <v>1.8</v>
      </c>
      <c r="J43" s="346" t="s">
        <v>167</v>
      </c>
      <c r="K43" s="396">
        <v>1</v>
      </c>
      <c r="L43" s="346" t="s">
        <v>167</v>
      </c>
      <c r="M43" s="396">
        <v>1</v>
      </c>
      <c r="N43" s="346"/>
      <c r="O43" s="346"/>
      <c r="P43" s="346"/>
      <c r="Q43" s="346"/>
      <c r="R43" s="346" t="s">
        <v>539</v>
      </c>
      <c r="S43" s="347">
        <f t="shared" si="2"/>
        <v>1.8</v>
      </c>
      <c r="T43" s="324"/>
      <c r="U43" s="332"/>
    </row>
    <row r="44" spans="2:21">
      <c r="B44" s="329"/>
      <c r="C44" s="330"/>
      <c r="D44" s="317"/>
      <c r="E44" s="318"/>
      <c r="F44" s="318"/>
      <c r="G44" s="318"/>
      <c r="H44" s="428">
        <v>6</v>
      </c>
      <c r="I44" s="549">
        <v>1.8</v>
      </c>
      <c r="J44" s="346" t="s">
        <v>167</v>
      </c>
      <c r="K44" s="396">
        <v>0.2</v>
      </c>
      <c r="L44" s="346" t="s">
        <v>167</v>
      </c>
      <c r="M44" s="396">
        <v>2</v>
      </c>
      <c r="N44" s="346"/>
      <c r="O44" s="346"/>
      <c r="P44" s="346"/>
      <c r="Q44" s="346"/>
      <c r="R44" s="346" t="s">
        <v>539</v>
      </c>
      <c r="S44" s="347">
        <f t="shared" si="2"/>
        <v>0.72000000000000008</v>
      </c>
      <c r="T44" s="324"/>
      <c r="U44" s="332"/>
    </row>
    <row r="45" spans="2:21">
      <c r="B45" s="329"/>
      <c r="C45" s="330"/>
      <c r="D45" s="317"/>
      <c r="E45" s="318"/>
      <c r="F45" s="318"/>
      <c r="G45" s="318"/>
      <c r="H45" s="428">
        <v>7</v>
      </c>
      <c r="I45" s="549">
        <v>1.2</v>
      </c>
      <c r="J45" s="346" t="s">
        <v>167</v>
      </c>
      <c r="K45" s="396">
        <v>0.6</v>
      </c>
      <c r="L45" s="346" t="s">
        <v>167</v>
      </c>
      <c r="M45" s="396">
        <v>2</v>
      </c>
      <c r="N45" s="346"/>
      <c r="O45" s="346"/>
      <c r="P45" s="346"/>
      <c r="Q45" s="346"/>
      <c r="R45" s="346" t="s">
        <v>539</v>
      </c>
      <c r="S45" s="347">
        <f t="shared" si="2"/>
        <v>1.44</v>
      </c>
      <c r="T45" s="324"/>
      <c r="U45" s="332"/>
    </row>
    <row r="46" spans="2:21">
      <c r="B46" s="329"/>
      <c r="C46" s="330"/>
      <c r="D46" s="317"/>
      <c r="E46" s="318"/>
      <c r="F46" s="318"/>
      <c r="G46" s="318"/>
      <c r="H46" s="428" t="s">
        <v>718</v>
      </c>
      <c r="I46" s="549"/>
      <c r="J46" s="346"/>
      <c r="K46" s="396"/>
      <c r="L46" s="346"/>
      <c r="M46" s="396"/>
      <c r="N46" s="346"/>
      <c r="O46" s="346"/>
      <c r="P46" s="346"/>
      <c r="Q46" s="346"/>
      <c r="R46" s="346"/>
      <c r="S46" s="347"/>
      <c r="T46" s="324"/>
      <c r="U46" s="332"/>
    </row>
    <row r="47" spans="2:21">
      <c r="B47" s="329"/>
      <c r="C47" s="330"/>
      <c r="D47" s="317"/>
      <c r="E47" s="318"/>
      <c r="F47" s="318"/>
      <c r="G47" s="318"/>
      <c r="H47" s="428">
        <v>1</v>
      </c>
      <c r="I47" s="549">
        <v>1.1000000000000001</v>
      </c>
      <c r="J47" s="346" t="s">
        <v>167</v>
      </c>
      <c r="K47" s="396">
        <v>2.5</v>
      </c>
      <c r="L47" s="346" t="s">
        <v>167</v>
      </c>
      <c r="M47" s="396">
        <v>1</v>
      </c>
      <c r="N47" s="346"/>
      <c r="O47" s="346"/>
      <c r="P47" s="346"/>
      <c r="Q47" s="346"/>
      <c r="R47" s="346" t="s">
        <v>539</v>
      </c>
      <c r="S47" s="347">
        <f t="shared" si="2"/>
        <v>2.75</v>
      </c>
      <c r="T47" s="324"/>
      <c r="U47" s="332"/>
    </row>
    <row r="48" spans="2:21">
      <c r="B48" s="329"/>
      <c r="C48" s="330"/>
      <c r="D48" s="317"/>
      <c r="E48" s="318"/>
      <c r="F48" s="318"/>
      <c r="G48" s="318"/>
      <c r="H48" s="319"/>
      <c r="I48" s="333"/>
      <c r="J48" s="321"/>
      <c r="K48" s="322"/>
      <c r="L48" s="321"/>
      <c r="M48" s="322"/>
      <c r="N48" s="321"/>
      <c r="O48" s="321"/>
      <c r="P48" s="321"/>
      <c r="Q48" s="321"/>
      <c r="R48" s="321"/>
      <c r="S48" s="577">
        <f>SUM(S34:S47)</f>
        <v>33.094999999999999</v>
      </c>
      <c r="T48" s="324"/>
      <c r="U48" s="332"/>
    </row>
    <row r="49" spans="2:23">
      <c r="B49" s="329"/>
      <c r="C49" s="330"/>
      <c r="D49" s="317"/>
      <c r="E49" s="318"/>
      <c r="F49" s="318"/>
      <c r="G49" s="318"/>
      <c r="H49" s="319"/>
      <c r="I49" s="333"/>
      <c r="J49" s="321"/>
      <c r="K49" s="322"/>
      <c r="L49" s="321"/>
      <c r="M49" s="322"/>
      <c r="N49" s="321"/>
      <c r="O49" s="321"/>
      <c r="P49" s="321"/>
      <c r="Q49" s="321"/>
      <c r="R49" s="321"/>
      <c r="S49" s="323"/>
      <c r="T49" s="324"/>
      <c r="U49" s="332"/>
    </row>
    <row r="50" spans="2:23">
      <c r="B50" s="329">
        <f>RAB!B41</f>
        <v>3</v>
      </c>
      <c r="C50" s="330" t="str">
        <f>RAB!D41</f>
        <v>Memasang plesteran 1 PC : 8 PP, tebal 15 mm</v>
      </c>
      <c r="D50" s="317"/>
      <c r="E50" s="318"/>
      <c r="F50" s="318"/>
      <c r="G50" s="318"/>
      <c r="H50" s="319"/>
      <c r="I50" s="333">
        <f>T30</f>
        <v>120.30499999999998</v>
      </c>
      <c r="J50" s="321" t="s">
        <v>167</v>
      </c>
      <c r="K50" s="322">
        <v>2</v>
      </c>
      <c r="L50" s="321"/>
      <c r="M50" s="322" t="s">
        <v>615</v>
      </c>
      <c r="N50" s="321"/>
      <c r="O50" s="321"/>
      <c r="P50" s="321"/>
      <c r="Q50" s="321"/>
      <c r="R50" s="321" t="s">
        <v>539</v>
      </c>
      <c r="S50" s="323">
        <f>I50*K50</f>
        <v>240.60999999999996</v>
      </c>
      <c r="T50" s="324"/>
      <c r="U50" s="332"/>
    </row>
    <row r="51" spans="2:23" s="559" customFormat="1">
      <c r="B51" s="553"/>
      <c r="C51" s="554"/>
      <c r="D51" s="555"/>
      <c r="E51" s="556"/>
      <c r="F51" s="556"/>
      <c r="G51" s="556"/>
      <c r="H51" s="428" t="s">
        <v>720</v>
      </c>
      <c r="I51" s="549"/>
      <c r="J51" s="346"/>
      <c r="K51" s="396"/>
      <c r="L51" s="346"/>
      <c r="M51" s="396"/>
      <c r="N51" s="346"/>
      <c r="O51" s="346"/>
      <c r="P51" s="346"/>
      <c r="Q51" s="346"/>
      <c r="R51" s="346"/>
      <c r="S51" s="323">
        <f>SUM(S50:S50)</f>
        <v>240.60999999999996</v>
      </c>
      <c r="T51" s="557"/>
      <c r="U51" s="558"/>
    </row>
    <row r="52" spans="2:23" s="559" customFormat="1">
      <c r="B52" s="553"/>
      <c r="C52" s="554"/>
      <c r="D52" s="555"/>
      <c r="E52" s="556"/>
      <c r="F52" s="556"/>
      <c r="G52" s="556"/>
      <c r="H52" s="428" t="s">
        <v>696</v>
      </c>
      <c r="I52" s="549">
        <f>(1.35+1.35+1+1)-0.8</f>
        <v>3.9000000000000004</v>
      </c>
      <c r="J52" s="346" t="s">
        <v>167</v>
      </c>
      <c r="K52" s="396">
        <v>1.2</v>
      </c>
      <c r="L52" s="346" t="s">
        <v>167</v>
      </c>
      <c r="M52" s="396">
        <v>2</v>
      </c>
      <c r="N52" s="346"/>
      <c r="O52" s="346"/>
      <c r="P52" s="346"/>
      <c r="Q52" s="346"/>
      <c r="R52" s="346" t="s">
        <v>539</v>
      </c>
      <c r="S52" s="347">
        <f>I52*K52</f>
        <v>4.6800000000000006</v>
      </c>
      <c r="T52" s="557"/>
      <c r="U52" s="558"/>
    </row>
    <row r="53" spans="2:23" s="559" customFormat="1">
      <c r="B53" s="553"/>
      <c r="C53" s="554"/>
      <c r="D53" s="555"/>
      <c r="E53" s="556"/>
      <c r="F53" s="556"/>
      <c r="G53" s="556"/>
      <c r="H53" s="428" t="s">
        <v>697</v>
      </c>
      <c r="I53" s="549">
        <v>1.2</v>
      </c>
      <c r="J53" s="346" t="s">
        <v>167</v>
      </c>
      <c r="K53" s="396">
        <v>1.2</v>
      </c>
      <c r="L53" s="346" t="s">
        <v>167</v>
      </c>
      <c r="M53" s="396">
        <v>1</v>
      </c>
      <c r="N53" s="346"/>
      <c r="O53" s="346"/>
      <c r="P53" s="346"/>
      <c r="Q53" s="346"/>
      <c r="R53" s="346" t="s">
        <v>539</v>
      </c>
      <c r="S53" s="347">
        <f>I53*K53</f>
        <v>1.44</v>
      </c>
      <c r="T53" s="557"/>
      <c r="U53" s="558"/>
    </row>
    <row r="54" spans="2:23" s="559" customFormat="1">
      <c r="B54" s="553"/>
      <c r="C54" s="554"/>
      <c r="D54" s="555"/>
      <c r="E54" s="556"/>
      <c r="F54" s="556"/>
      <c r="G54" s="556"/>
      <c r="H54" s="428"/>
      <c r="I54" s="549"/>
      <c r="J54" s="346"/>
      <c r="K54" s="396"/>
      <c r="L54" s="346"/>
      <c r="M54" s="396"/>
      <c r="N54" s="346"/>
      <c r="O54" s="346"/>
      <c r="P54" s="346"/>
      <c r="Q54" s="346"/>
      <c r="R54" s="346"/>
      <c r="S54" s="347">
        <f>SUM(S52:S53)</f>
        <v>6.120000000000001</v>
      </c>
      <c r="T54" s="557"/>
      <c r="U54" s="558"/>
    </row>
    <row r="55" spans="2:23" s="560" customFormat="1">
      <c r="B55" s="329"/>
      <c r="C55" s="330"/>
      <c r="D55" s="317"/>
      <c r="E55" s="318"/>
      <c r="F55" s="318"/>
      <c r="G55" s="318"/>
      <c r="H55" s="319"/>
      <c r="I55" s="333">
        <f>S51</f>
        <v>240.60999999999996</v>
      </c>
      <c r="J55" s="321" t="s">
        <v>552</v>
      </c>
      <c r="K55" s="322">
        <f>S54</f>
        <v>6.120000000000001</v>
      </c>
      <c r="L55" s="321"/>
      <c r="M55" s="322"/>
      <c r="N55" s="321"/>
      <c r="O55" s="321"/>
      <c r="P55" s="321"/>
      <c r="Q55" s="321"/>
      <c r="R55" s="321" t="s">
        <v>539</v>
      </c>
      <c r="S55" s="323">
        <f>(I55-K55)-13</f>
        <v>221.48999999999995</v>
      </c>
      <c r="T55" s="324">
        <f>S55</f>
        <v>221.48999999999995</v>
      </c>
      <c r="U55" s="332" t="s">
        <v>100</v>
      </c>
      <c r="W55" s="560">
        <f>REKAP!L40</f>
        <v>129000</v>
      </c>
    </row>
    <row r="56" spans="2:23">
      <c r="B56" s="329"/>
      <c r="C56" s="330"/>
      <c r="D56" s="317"/>
      <c r="E56" s="318"/>
      <c r="F56" s="318"/>
      <c r="G56" s="318"/>
      <c r="H56" s="319"/>
      <c r="I56" s="333"/>
      <c r="J56" s="321"/>
      <c r="K56" s="322"/>
      <c r="L56" s="321"/>
      <c r="M56" s="322"/>
      <c r="N56" s="321"/>
      <c r="O56" s="321"/>
      <c r="P56" s="321"/>
      <c r="Q56" s="321"/>
      <c r="R56" s="321"/>
      <c r="S56" s="323"/>
      <c r="T56" s="324"/>
      <c r="U56" s="332"/>
    </row>
    <row r="57" spans="2:23">
      <c r="B57" s="329">
        <f>RAB!B42</f>
        <v>4</v>
      </c>
      <c r="C57" s="330" t="str">
        <f>RAB!D42</f>
        <v>Pemasangan 1 m2 Acian</v>
      </c>
      <c r="D57" s="317"/>
      <c r="E57" s="318"/>
      <c r="F57" s="318"/>
      <c r="G57" s="318"/>
      <c r="H57" s="319"/>
      <c r="I57" s="333"/>
      <c r="J57" s="321"/>
      <c r="K57" s="322"/>
      <c r="L57" s="321"/>
      <c r="M57" s="322"/>
      <c r="N57" s="321"/>
      <c r="O57" s="321"/>
      <c r="P57" s="321"/>
      <c r="Q57" s="348"/>
      <c r="R57" s="477" t="s">
        <v>539</v>
      </c>
      <c r="S57" s="480">
        <f>T55</f>
        <v>221.48999999999995</v>
      </c>
      <c r="T57" s="324">
        <f>S57</f>
        <v>221.48999999999995</v>
      </c>
      <c r="U57" s="332" t="s">
        <v>100</v>
      </c>
    </row>
    <row r="58" spans="2:23" s="559" customFormat="1">
      <c r="B58" s="553"/>
      <c r="C58" s="554"/>
      <c r="D58" s="555"/>
      <c r="E58" s="556"/>
      <c r="F58" s="556"/>
      <c r="G58" s="556"/>
      <c r="H58" s="428"/>
      <c r="I58" s="549"/>
      <c r="J58" s="346"/>
      <c r="K58" s="396"/>
      <c r="L58" s="346"/>
      <c r="M58" s="396"/>
      <c r="N58" s="346"/>
      <c r="O58" s="346"/>
      <c r="P58" s="346"/>
      <c r="Q58" s="346"/>
      <c r="R58" s="346"/>
      <c r="S58" s="347"/>
      <c r="T58" s="557"/>
      <c r="U58" s="558"/>
    </row>
    <row r="59" spans="2:23">
      <c r="B59" s="329">
        <f>RAB!B43</f>
        <v>5</v>
      </c>
      <c r="C59" s="330" t="str">
        <f>RAB!D43</f>
        <v>Sponengan</v>
      </c>
      <c r="D59" s="317"/>
      <c r="E59" s="318"/>
      <c r="F59" s="318"/>
      <c r="G59" s="318"/>
      <c r="H59" s="319" t="s">
        <v>727</v>
      </c>
      <c r="I59" s="333"/>
      <c r="J59" s="321"/>
      <c r="K59" s="322"/>
      <c r="L59" s="321"/>
      <c r="M59" s="322"/>
      <c r="N59" s="321"/>
      <c r="O59" s="321"/>
      <c r="P59" s="321"/>
      <c r="Q59" s="321"/>
      <c r="R59" s="321" t="s">
        <v>539</v>
      </c>
      <c r="S59" s="323">
        <f>SUM(S60:S73)</f>
        <v>79</v>
      </c>
      <c r="T59" s="324">
        <f>S59</f>
        <v>79</v>
      </c>
      <c r="U59" s="332" t="s">
        <v>32</v>
      </c>
    </row>
    <row r="60" spans="2:23">
      <c r="B60" s="329"/>
      <c r="C60" s="330"/>
      <c r="D60" s="317"/>
      <c r="E60" s="318"/>
      <c r="F60" s="318"/>
      <c r="G60" s="318"/>
      <c r="H60" s="319" t="s">
        <v>713</v>
      </c>
      <c r="I60" s="333">
        <v>1.1000000000000001</v>
      </c>
      <c r="J60" s="321" t="s">
        <v>167</v>
      </c>
      <c r="K60" s="322">
        <v>2.2000000000000002</v>
      </c>
      <c r="L60" s="321" t="s">
        <v>167</v>
      </c>
      <c r="M60" s="322">
        <v>1</v>
      </c>
      <c r="N60" s="321"/>
      <c r="O60" s="321"/>
      <c r="P60" s="321"/>
      <c r="Q60" s="321"/>
      <c r="R60" s="321" t="s">
        <v>539</v>
      </c>
      <c r="S60" s="323">
        <f>(I60+K60+K60)*M60</f>
        <v>5.5</v>
      </c>
      <c r="T60" s="324"/>
      <c r="U60" s="332"/>
    </row>
    <row r="61" spans="2:23">
      <c r="B61" s="329"/>
      <c r="C61" s="330"/>
      <c r="D61" s="317"/>
      <c r="E61" s="318"/>
      <c r="F61" s="318"/>
      <c r="G61" s="318"/>
      <c r="H61" s="319" t="s">
        <v>714</v>
      </c>
      <c r="I61" s="333">
        <v>1.5</v>
      </c>
      <c r="J61" s="321" t="s">
        <v>167</v>
      </c>
      <c r="K61" s="322">
        <v>2.2000000000000002</v>
      </c>
      <c r="L61" s="321" t="s">
        <v>167</v>
      </c>
      <c r="M61" s="322">
        <v>1</v>
      </c>
      <c r="N61" s="321"/>
      <c r="O61" s="321"/>
      <c r="P61" s="321"/>
      <c r="Q61" s="321"/>
      <c r="R61" s="321" t="s">
        <v>539</v>
      </c>
      <c r="S61" s="323">
        <f t="shared" ref="S61:S73" si="3">(I61+K61+K61)*M61</f>
        <v>5.9</v>
      </c>
      <c r="T61" s="324"/>
      <c r="U61" s="332"/>
    </row>
    <row r="62" spans="2:23">
      <c r="B62" s="329"/>
      <c r="C62" s="330"/>
      <c r="D62" s="317"/>
      <c r="E62" s="318"/>
      <c r="F62" s="318"/>
      <c r="G62" s="318"/>
      <c r="H62" s="319" t="s">
        <v>715</v>
      </c>
      <c r="I62" s="333">
        <v>0.7</v>
      </c>
      <c r="J62" s="321" t="s">
        <v>167</v>
      </c>
      <c r="K62" s="322">
        <v>2.2000000000000002</v>
      </c>
      <c r="L62" s="321" t="s">
        <v>167</v>
      </c>
      <c r="M62" s="322">
        <v>1</v>
      </c>
      <c r="N62" s="321"/>
      <c r="O62" s="321"/>
      <c r="P62" s="321"/>
      <c r="Q62" s="321"/>
      <c r="R62" s="321" t="s">
        <v>539</v>
      </c>
      <c r="S62" s="323">
        <f t="shared" si="3"/>
        <v>5.1000000000000005</v>
      </c>
      <c r="T62" s="324"/>
      <c r="U62" s="332"/>
    </row>
    <row r="63" spans="2:23">
      <c r="B63" s="329"/>
      <c r="C63" s="330"/>
      <c r="D63" s="317"/>
      <c r="E63" s="318"/>
      <c r="F63" s="318"/>
      <c r="G63" s="318"/>
      <c r="H63" s="319" t="s">
        <v>716</v>
      </c>
      <c r="I63" s="333">
        <v>1.05</v>
      </c>
      <c r="J63" s="321" t="s">
        <v>167</v>
      </c>
      <c r="K63" s="322">
        <v>1.35</v>
      </c>
      <c r="L63" s="321" t="s">
        <v>167</v>
      </c>
      <c r="M63" s="322">
        <v>2</v>
      </c>
      <c r="N63" s="321"/>
      <c r="O63" s="321"/>
      <c r="P63" s="321"/>
      <c r="Q63" s="321"/>
      <c r="R63" s="321" t="s">
        <v>539</v>
      </c>
      <c r="S63" s="323">
        <f t="shared" si="3"/>
        <v>7.5000000000000009</v>
      </c>
      <c r="T63" s="324"/>
      <c r="U63" s="332"/>
    </row>
    <row r="64" spans="2:23">
      <c r="B64" s="329"/>
      <c r="C64" s="330"/>
      <c r="D64" s="317"/>
      <c r="E64" s="318"/>
      <c r="F64" s="318"/>
      <c r="G64" s="318"/>
      <c r="H64" s="319" t="s">
        <v>717</v>
      </c>
      <c r="I64" s="333"/>
      <c r="J64" s="321"/>
      <c r="K64" s="322"/>
      <c r="L64" s="321"/>
      <c r="M64" s="322"/>
      <c r="N64" s="321"/>
      <c r="O64" s="321"/>
      <c r="P64" s="321"/>
      <c r="Q64" s="321"/>
      <c r="R64" s="321"/>
      <c r="S64" s="323"/>
      <c r="T64" s="324"/>
      <c r="U64" s="332"/>
    </row>
    <row r="65" spans="2:21">
      <c r="B65" s="329"/>
      <c r="C65" s="330"/>
      <c r="D65" s="317"/>
      <c r="E65" s="318"/>
      <c r="F65" s="318"/>
      <c r="G65" s="318"/>
      <c r="H65" s="319">
        <v>1</v>
      </c>
      <c r="I65" s="333">
        <v>2.1</v>
      </c>
      <c r="J65" s="321" t="s">
        <v>167</v>
      </c>
      <c r="K65" s="322">
        <v>2.1</v>
      </c>
      <c r="L65" s="321" t="s">
        <v>167</v>
      </c>
      <c r="M65" s="322">
        <v>1</v>
      </c>
      <c r="N65" s="321"/>
      <c r="O65" s="321"/>
      <c r="P65" s="321"/>
      <c r="Q65" s="321"/>
      <c r="R65" s="321" t="s">
        <v>539</v>
      </c>
      <c r="S65" s="323">
        <f t="shared" si="3"/>
        <v>6.3000000000000007</v>
      </c>
      <c r="T65" s="324"/>
      <c r="U65" s="332"/>
    </row>
    <row r="66" spans="2:21">
      <c r="B66" s="329"/>
      <c r="C66" s="330"/>
      <c r="D66" s="317"/>
      <c r="E66" s="318"/>
      <c r="F66" s="318"/>
      <c r="G66" s="318"/>
      <c r="H66" s="319">
        <v>2</v>
      </c>
      <c r="I66" s="333">
        <v>0.6</v>
      </c>
      <c r="J66" s="321" t="s">
        <v>167</v>
      </c>
      <c r="K66" s="322">
        <v>2</v>
      </c>
      <c r="L66" s="321" t="s">
        <v>167</v>
      </c>
      <c r="M66" s="322">
        <v>3</v>
      </c>
      <c r="N66" s="321"/>
      <c r="O66" s="321"/>
      <c r="P66" s="321"/>
      <c r="Q66" s="321"/>
      <c r="R66" s="321" t="s">
        <v>539</v>
      </c>
      <c r="S66" s="323">
        <f t="shared" si="3"/>
        <v>13.799999999999999</v>
      </c>
      <c r="T66" s="324"/>
      <c r="U66" s="332"/>
    </row>
    <row r="67" spans="2:21">
      <c r="B67" s="329"/>
      <c r="C67" s="330"/>
      <c r="D67" s="317"/>
      <c r="E67" s="318"/>
      <c r="F67" s="318"/>
      <c r="G67" s="318"/>
      <c r="H67" s="319">
        <v>3</v>
      </c>
      <c r="I67" s="333">
        <v>0.6</v>
      </c>
      <c r="J67" s="321" t="s">
        <v>167</v>
      </c>
      <c r="K67" s="322">
        <v>1.8</v>
      </c>
      <c r="L67" s="321" t="s">
        <v>167</v>
      </c>
      <c r="M67" s="322">
        <v>1</v>
      </c>
      <c r="N67" s="321"/>
      <c r="O67" s="321"/>
      <c r="P67" s="321"/>
      <c r="Q67" s="321"/>
      <c r="R67" s="321" t="s">
        <v>539</v>
      </c>
      <c r="S67" s="323">
        <f t="shared" si="3"/>
        <v>4.2</v>
      </c>
      <c r="T67" s="324"/>
      <c r="U67" s="332"/>
    </row>
    <row r="68" spans="2:21">
      <c r="B68" s="329"/>
      <c r="C68" s="330"/>
      <c r="D68" s="317"/>
      <c r="E68" s="318"/>
      <c r="F68" s="318"/>
      <c r="G68" s="318"/>
      <c r="H68" s="319">
        <v>4</v>
      </c>
      <c r="I68" s="333">
        <v>1.8</v>
      </c>
      <c r="J68" s="321" t="s">
        <v>167</v>
      </c>
      <c r="K68" s="322">
        <v>2</v>
      </c>
      <c r="L68" s="321" t="s">
        <v>167</v>
      </c>
      <c r="M68" s="322">
        <v>2</v>
      </c>
      <c r="N68" s="321"/>
      <c r="O68" s="321"/>
      <c r="P68" s="321"/>
      <c r="Q68" s="321"/>
      <c r="R68" s="321" t="s">
        <v>539</v>
      </c>
      <c r="S68" s="323">
        <f t="shared" si="3"/>
        <v>11.6</v>
      </c>
      <c r="T68" s="324"/>
      <c r="U68" s="332"/>
    </row>
    <row r="69" spans="2:21">
      <c r="B69" s="329"/>
      <c r="C69" s="330"/>
      <c r="D69" s="317"/>
      <c r="E69" s="318"/>
      <c r="F69" s="318"/>
      <c r="G69" s="318"/>
      <c r="H69" s="319">
        <v>5</v>
      </c>
      <c r="I69" s="333">
        <v>1.8</v>
      </c>
      <c r="J69" s="321" t="s">
        <v>167</v>
      </c>
      <c r="K69" s="322">
        <v>1</v>
      </c>
      <c r="L69" s="321" t="s">
        <v>167</v>
      </c>
      <c r="M69" s="322">
        <v>1</v>
      </c>
      <c r="N69" s="321"/>
      <c r="O69" s="321"/>
      <c r="P69" s="321"/>
      <c r="Q69" s="321"/>
      <c r="R69" s="321" t="s">
        <v>539</v>
      </c>
      <c r="S69" s="323">
        <f t="shared" si="3"/>
        <v>3.8</v>
      </c>
      <c r="T69" s="324"/>
      <c r="U69" s="332"/>
    </row>
    <row r="70" spans="2:21">
      <c r="B70" s="329"/>
      <c r="C70" s="330"/>
      <c r="D70" s="317"/>
      <c r="E70" s="318"/>
      <c r="F70" s="318"/>
      <c r="G70" s="318"/>
      <c r="H70" s="319">
        <v>6</v>
      </c>
      <c r="I70" s="333">
        <v>1.8</v>
      </c>
      <c r="J70" s="321" t="s">
        <v>167</v>
      </c>
      <c r="K70" s="322">
        <v>0.2</v>
      </c>
      <c r="L70" s="321" t="s">
        <v>167</v>
      </c>
      <c r="M70" s="322">
        <v>2</v>
      </c>
      <c r="N70" s="321"/>
      <c r="O70" s="321"/>
      <c r="P70" s="321"/>
      <c r="Q70" s="321"/>
      <c r="R70" s="321" t="s">
        <v>539</v>
      </c>
      <c r="S70" s="323">
        <f t="shared" si="3"/>
        <v>4.4000000000000004</v>
      </c>
      <c r="T70" s="324"/>
      <c r="U70" s="332"/>
    </row>
    <row r="71" spans="2:21">
      <c r="B71" s="329"/>
      <c r="C71" s="330"/>
      <c r="D71" s="317"/>
      <c r="E71" s="318"/>
      <c r="F71" s="318"/>
      <c r="G71" s="318"/>
      <c r="H71" s="319">
        <v>7</v>
      </c>
      <c r="I71" s="333">
        <v>1.2</v>
      </c>
      <c r="J71" s="321" t="s">
        <v>167</v>
      </c>
      <c r="K71" s="322">
        <v>0.6</v>
      </c>
      <c r="L71" s="321" t="s">
        <v>167</v>
      </c>
      <c r="M71" s="322">
        <v>2</v>
      </c>
      <c r="N71" s="321"/>
      <c r="O71" s="321"/>
      <c r="P71" s="321"/>
      <c r="Q71" s="321"/>
      <c r="R71" s="321" t="s">
        <v>539</v>
      </c>
      <c r="S71" s="323">
        <f t="shared" si="3"/>
        <v>4.8</v>
      </c>
      <c r="T71" s="324"/>
      <c r="U71" s="332"/>
    </row>
    <row r="72" spans="2:21">
      <c r="B72" s="329"/>
      <c r="C72" s="330"/>
      <c r="D72" s="317"/>
      <c r="E72" s="318"/>
      <c r="F72" s="318"/>
      <c r="G72" s="318"/>
      <c r="H72" s="319" t="s">
        <v>718</v>
      </c>
      <c r="I72" s="333"/>
      <c r="J72" s="321"/>
      <c r="K72" s="322"/>
      <c r="L72" s="321"/>
      <c r="M72" s="322"/>
      <c r="N72" s="321"/>
      <c r="O72" s="321"/>
      <c r="P72" s="321"/>
      <c r="Q72" s="321"/>
      <c r="R72" s="321" t="s">
        <v>539</v>
      </c>
      <c r="S72" s="323"/>
      <c r="T72" s="324"/>
      <c r="U72" s="332"/>
    </row>
    <row r="73" spans="2:21">
      <c r="B73" s="329"/>
      <c r="C73" s="330"/>
      <c r="D73" s="317"/>
      <c r="E73" s="318"/>
      <c r="F73" s="318"/>
      <c r="G73" s="318"/>
      <c r="H73" s="319">
        <v>1</v>
      </c>
      <c r="I73" s="333">
        <v>1.1000000000000001</v>
      </c>
      <c r="J73" s="321" t="s">
        <v>167</v>
      </c>
      <c r="K73" s="322">
        <v>2.5</v>
      </c>
      <c r="L73" s="321" t="s">
        <v>167</v>
      </c>
      <c r="M73" s="322">
        <v>1</v>
      </c>
      <c r="N73" s="321"/>
      <c r="O73" s="321"/>
      <c r="P73" s="321"/>
      <c r="Q73" s="321"/>
      <c r="R73" s="321" t="s">
        <v>539</v>
      </c>
      <c r="S73" s="323">
        <f t="shared" si="3"/>
        <v>6.1</v>
      </c>
      <c r="T73" s="324"/>
      <c r="U73" s="332"/>
    </row>
    <row r="74" spans="2:21">
      <c r="B74" s="329"/>
      <c r="C74" s="330"/>
      <c r="D74" s="317"/>
      <c r="E74" s="318"/>
      <c r="F74" s="318"/>
      <c r="G74" s="318"/>
      <c r="H74" s="319"/>
      <c r="I74" s="337"/>
      <c r="J74" s="321"/>
      <c r="K74" s="322"/>
      <c r="L74" s="321"/>
      <c r="M74" s="322"/>
      <c r="N74" s="321"/>
      <c r="O74" s="321"/>
      <c r="P74" s="321"/>
      <c r="Q74" s="321"/>
      <c r="R74" s="321"/>
      <c r="S74" s="323"/>
      <c r="T74" s="324"/>
      <c r="U74" s="332"/>
    </row>
    <row r="75" spans="2:21">
      <c r="B75" s="329">
        <f>RAB!B44</f>
        <v>6</v>
      </c>
      <c r="C75" s="330" t="str">
        <f>RAB!D44</f>
        <v>Memasang dinding terawang ( roster ) camp  1 PC : 4 PP</v>
      </c>
      <c r="D75" s="317"/>
      <c r="E75" s="318"/>
      <c r="F75" s="318"/>
      <c r="G75" s="318"/>
      <c r="H75" s="319">
        <v>1</v>
      </c>
      <c r="I75" s="333">
        <v>2.1</v>
      </c>
      <c r="J75" s="321" t="s">
        <v>167</v>
      </c>
      <c r="K75" s="322">
        <v>2.1</v>
      </c>
      <c r="L75" s="321" t="s">
        <v>167</v>
      </c>
      <c r="M75" s="322">
        <v>1</v>
      </c>
      <c r="N75" s="321"/>
      <c r="O75" s="321"/>
      <c r="P75" s="321"/>
      <c r="Q75" s="321"/>
      <c r="R75" s="321" t="s">
        <v>539</v>
      </c>
      <c r="S75" s="323">
        <f t="shared" ref="S75:S80" si="4">I75*K75*M75</f>
        <v>4.41</v>
      </c>
      <c r="T75" s="324">
        <f>SUM(S75:S81)</f>
        <v>20.25</v>
      </c>
      <c r="U75" s="332" t="s">
        <v>100</v>
      </c>
    </row>
    <row r="76" spans="2:21">
      <c r="B76" s="329"/>
      <c r="C76" s="330"/>
      <c r="D76" s="317"/>
      <c r="E76" s="318"/>
      <c r="F76" s="318"/>
      <c r="G76" s="318"/>
      <c r="H76" s="319">
        <v>2</v>
      </c>
      <c r="I76" s="333">
        <v>0.6</v>
      </c>
      <c r="J76" s="321" t="s">
        <v>167</v>
      </c>
      <c r="K76" s="322">
        <v>2</v>
      </c>
      <c r="L76" s="321" t="s">
        <v>167</v>
      </c>
      <c r="M76" s="322">
        <v>3</v>
      </c>
      <c r="N76" s="321"/>
      <c r="O76" s="321"/>
      <c r="P76" s="321"/>
      <c r="Q76" s="321"/>
      <c r="R76" s="321" t="s">
        <v>539</v>
      </c>
      <c r="S76" s="323">
        <f t="shared" si="4"/>
        <v>3.5999999999999996</v>
      </c>
      <c r="T76" s="324"/>
      <c r="U76" s="332"/>
    </row>
    <row r="77" spans="2:21">
      <c r="B77" s="329"/>
      <c r="C77" s="330"/>
      <c r="D77" s="317"/>
      <c r="E77" s="318"/>
      <c r="F77" s="318"/>
      <c r="G77" s="318"/>
      <c r="H77" s="319">
        <v>3</v>
      </c>
      <c r="I77" s="333">
        <v>0.6</v>
      </c>
      <c r="J77" s="321" t="s">
        <v>167</v>
      </c>
      <c r="K77" s="322">
        <v>1.8</v>
      </c>
      <c r="L77" s="321" t="s">
        <v>167</v>
      </c>
      <c r="M77" s="322">
        <v>1</v>
      </c>
      <c r="N77" s="321"/>
      <c r="O77" s="321"/>
      <c r="P77" s="321"/>
      <c r="Q77" s="321"/>
      <c r="R77" s="321" t="s">
        <v>539</v>
      </c>
      <c r="S77" s="323">
        <f t="shared" si="4"/>
        <v>1.08</v>
      </c>
      <c r="T77" s="324"/>
      <c r="U77" s="332"/>
    </row>
    <row r="78" spans="2:21">
      <c r="B78" s="329"/>
      <c r="C78" s="330"/>
      <c r="D78" s="317"/>
      <c r="E78" s="318"/>
      <c r="F78" s="318"/>
      <c r="G78" s="318"/>
      <c r="H78" s="319">
        <v>4</v>
      </c>
      <c r="I78" s="333">
        <v>1.8</v>
      </c>
      <c r="J78" s="321" t="s">
        <v>167</v>
      </c>
      <c r="K78" s="322">
        <v>2</v>
      </c>
      <c r="L78" s="321" t="s">
        <v>167</v>
      </c>
      <c r="M78" s="322">
        <v>2</v>
      </c>
      <c r="N78" s="321"/>
      <c r="O78" s="321"/>
      <c r="P78" s="321"/>
      <c r="Q78" s="321"/>
      <c r="R78" s="321" t="s">
        <v>539</v>
      </c>
      <c r="S78" s="323">
        <f t="shared" si="4"/>
        <v>7.2</v>
      </c>
      <c r="T78" s="324"/>
      <c r="U78" s="332"/>
    </row>
    <row r="79" spans="2:21">
      <c r="B79" s="329"/>
      <c r="C79" s="330"/>
      <c r="D79" s="317"/>
      <c r="E79" s="318"/>
      <c r="F79" s="318"/>
      <c r="G79" s="318"/>
      <c r="H79" s="319">
        <v>5</v>
      </c>
      <c r="I79" s="333">
        <v>1.8</v>
      </c>
      <c r="J79" s="321" t="s">
        <v>167</v>
      </c>
      <c r="K79" s="322">
        <v>1</v>
      </c>
      <c r="L79" s="321" t="s">
        <v>167</v>
      </c>
      <c r="M79" s="322">
        <v>1</v>
      </c>
      <c r="N79" s="321"/>
      <c r="O79" s="321"/>
      <c r="P79" s="321"/>
      <c r="Q79" s="321"/>
      <c r="R79" s="321" t="s">
        <v>539</v>
      </c>
      <c r="S79" s="323">
        <f t="shared" si="4"/>
        <v>1.8</v>
      </c>
      <c r="T79" s="324"/>
      <c r="U79" s="332"/>
    </row>
    <row r="80" spans="2:21">
      <c r="B80" s="329"/>
      <c r="C80" s="330"/>
      <c r="D80" s="317"/>
      <c r="E80" s="318"/>
      <c r="F80" s="318"/>
      <c r="G80" s="318"/>
      <c r="H80" s="319">
        <v>6</v>
      </c>
      <c r="I80" s="333">
        <v>1.8</v>
      </c>
      <c r="J80" s="321" t="s">
        <v>167</v>
      </c>
      <c r="K80" s="322">
        <v>0.2</v>
      </c>
      <c r="L80" s="321" t="s">
        <v>167</v>
      </c>
      <c r="M80" s="322">
        <v>2</v>
      </c>
      <c r="N80" s="321"/>
      <c r="O80" s="321"/>
      <c r="P80" s="321"/>
      <c r="Q80" s="321"/>
      <c r="R80" s="321" t="s">
        <v>539</v>
      </c>
      <c r="S80" s="323">
        <f t="shared" si="4"/>
        <v>0.72000000000000008</v>
      </c>
      <c r="T80" s="324"/>
      <c r="U80" s="332"/>
    </row>
    <row r="81" spans="2:21">
      <c r="B81" s="329"/>
      <c r="C81" s="330"/>
      <c r="D81" s="317"/>
      <c r="E81" s="318"/>
      <c r="F81" s="318"/>
      <c r="G81" s="318"/>
      <c r="H81" s="319">
        <v>7</v>
      </c>
      <c r="I81" s="333">
        <v>1.2</v>
      </c>
      <c r="J81" s="321" t="s">
        <v>167</v>
      </c>
      <c r="K81" s="322">
        <v>0.6</v>
      </c>
      <c r="L81" s="321" t="s">
        <v>167</v>
      </c>
      <c r="M81" s="322">
        <v>2</v>
      </c>
      <c r="N81" s="321"/>
      <c r="O81" s="321"/>
      <c r="P81" s="321"/>
      <c r="Q81" s="321"/>
      <c r="R81" s="321" t="s">
        <v>539</v>
      </c>
      <c r="S81" s="323">
        <f t="shared" ref="S81" si="5">I81*K81*M81</f>
        <v>1.44</v>
      </c>
      <c r="T81" s="324"/>
      <c r="U81" s="332"/>
    </row>
    <row r="82" spans="2:21">
      <c r="B82" s="329"/>
      <c r="C82" s="330"/>
      <c r="D82" s="317"/>
      <c r="E82" s="318"/>
      <c r="F82" s="318"/>
      <c r="G82" s="318"/>
      <c r="H82" s="319"/>
      <c r="I82" s="337"/>
      <c r="J82" s="321"/>
      <c r="K82" s="322"/>
      <c r="L82" s="321"/>
      <c r="M82" s="322"/>
      <c r="N82" s="321"/>
      <c r="O82" s="321"/>
      <c r="P82" s="321"/>
      <c r="Q82" s="321"/>
      <c r="R82" s="321"/>
      <c r="S82" s="323"/>
      <c r="T82" s="324"/>
      <c r="U82" s="332"/>
    </row>
    <row r="83" spans="2:21">
      <c r="B83" s="329">
        <f>RAB!B45</f>
        <v>7</v>
      </c>
      <c r="C83" s="330" t="str">
        <f>RAB!D45</f>
        <v>Memasang lantai granit tile ( 60 x 60 ) cm</v>
      </c>
      <c r="D83" s="317"/>
      <c r="E83" s="318"/>
      <c r="F83" s="318"/>
      <c r="G83" s="318"/>
      <c r="H83" s="319" t="s">
        <v>698</v>
      </c>
      <c r="I83" s="337">
        <v>5.15</v>
      </c>
      <c r="J83" s="321" t="s">
        <v>167</v>
      </c>
      <c r="K83" s="345">
        <v>6.6</v>
      </c>
      <c r="L83" s="321"/>
      <c r="M83" s="322"/>
      <c r="N83" s="321"/>
      <c r="O83" s="321"/>
      <c r="P83" s="321"/>
      <c r="Q83" s="321"/>
      <c r="R83" s="321" t="s">
        <v>539</v>
      </c>
      <c r="S83" s="323">
        <f>I83*K83</f>
        <v>33.99</v>
      </c>
      <c r="T83" s="324">
        <f>S85</f>
        <v>35.42</v>
      </c>
      <c r="U83" s="334" t="s">
        <v>100</v>
      </c>
    </row>
    <row r="84" spans="2:21">
      <c r="B84" s="329"/>
      <c r="C84" s="330"/>
      <c r="D84" s="317"/>
      <c r="E84" s="318"/>
      <c r="F84" s="318"/>
      <c r="G84" s="318"/>
      <c r="H84" s="319"/>
      <c r="I84" s="337">
        <v>1.1000000000000001</v>
      </c>
      <c r="J84" s="321" t="s">
        <v>167</v>
      </c>
      <c r="K84" s="345">
        <v>1.3</v>
      </c>
      <c r="L84" s="321"/>
      <c r="M84" s="322"/>
      <c r="N84" s="321"/>
      <c r="O84" s="321"/>
      <c r="P84" s="321"/>
      <c r="Q84" s="321"/>
      <c r="R84" s="321" t="s">
        <v>539</v>
      </c>
      <c r="S84" s="323">
        <f t="shared" ref="S84" si="6">I84*K84</f>
        <v>1.4300000000000002</v>
      </c>
      <c r="T84" s="324"/>
      <c r="U84" s="334"/>
    </row>
    <row r="85" spans="2:21">
      <c r="B85" s="329"/>
      <c r="C85" s="330"/>
      <c r="D85" s="317"/>
      <c r="E85" s="318"/>
      <c r="F85" s="318"/>
      <c r="G85" s="318"/>
      <c r="H85" s="319"/>
      <c r="I85" s="337"/>
      <c r="J85" s="321"/>
      <c r="K85" s="345"/>
      <c r="L85" s="321"/>
      <c r="M85" s="322"/>
      <c r="N85" s="321"/>
      <c r="O85" s="321"/>
      <c r="P85" s="321"/>
      <c r="Q85" s="321"/>
      <c r="R85" s="321"/>
      <c r="S85" s="323">
        <f>SUM(S83:S84)</f>
        <v>35.42</v>
      </c>
      <c r="T85" s="324"/>
      <c r="U85" s="334"/>
    </row>
    <row r="86" spans="2:21">
      <c r="B86" s="329"/>
      <c r="C86" s="330"/>
      <c r="D86" s="317"/>
      <c r="E86" s="318"/>
      <c r="F86" s="318"/>
      <c r="G86" s="318"/>
      <c r="H86" s="319"/>
      <c r="I86" s="337"/>
      <c r="J86" s="321"/>
      <c r="K86" s="345"/>
      <c r="L86" s="321"/>
      <c r="M86" s="322"/>
      <c r="N86" s="321"/>
      <c r="O86" s="321"/>
      <c r="P86" s="321"/>
      <c r="Q86" s="321"/>
      <c r="R86" s="321"/>
      <c r="S86" s="323"/>
      <c r="T86" s="324"/>
      <c r="U86" s="334"/>
    </row>
    <row r="87" spans="2:21">
      <c r="B87" s="329">
        <f>RAB!B46</f>
        <v>8</v>
      </c>
      <c r="C87" s="330" t="str">
        <f>RAB!D46</f>
        <v>Memasang lantai granit tile ( 60 x 60 ) cm, texture</v>
      </c>
      <c r="D87" s="317"/>
      <c r="E87" s="318"/>
      <c r="F87" s="318"/>
      <c r="G87" s="318"/>
      <c r="H87" s="319" t="s">
        <v>695</v>
      </c>
      <c r="I87" s="337">
        <v>3.5</v>
      </c>
      <c r="J87" s="321" t="s">
        <v>167</v>
      </c>
      <c r="K87" s="345">
        <v>0.75</v>
      </c>
      <c r="L87" s="321"/>
      <c r="M87" s="322"/>
      <c r="N87" s="321"/>
      <c r="O87" s="321"/>
      <c r="P87" s="321"/>
      <c r="Q87" s="321"/>
      <c r="R87" s="321" t="s">
        <v>539</v>
      </c>
      <c r="S87" s="323">
        <f>I87*K87</f>
        <v>2.625</v>
      </c>
      <c r="T87" s="324">
        <f>SUM(S87:S89)</f>
        <v>10.990000000000002</v>
      </c>
      <c r="U87" s="334" t="s">
        <v>100</v>
      </c>
    </row>
    <row r="88" spans="2:21">
      <c r="B88" s="329"/>
      <c r="C88" s="330"/>
      <c r="D88" s="317"/>
      <c r="E88" s="318"/>
      <c r="F88" s="318"/>
      <c r="G88" s="318"/>
      <c r="H88" s="319" t="s">
        <v>699</v>
      </c>
      <c r="I88" s="337">
        <v>5.15</v>
      </c>
      <c r="J88" s="321" t="s">
        <v>167</v>
      </c>
      <c r="K88" s="345">
        <v>1.1000000000000001</v>
      </c>
      <c r="L88" s="321"/>
      <c r="M88" s="322"/>
      <c r="N88" s="321"/>
      <c r="O88" s="321"/>
      <c r="P88" s="321"/>
      <c r="Q88" s="321"/>
      <c r="R88" s="321" t="s">
        <v>539</v>
      </c>
      <c r="S88" s="323">
        <f>I88*K88</f>
        <v>5.6650000000000009</v>
      </c>
      <c r="T88" s="324"/>
      <c r="U88" s="334"/>
    </row>
    <row r="89" spans="2:21">
      <c r="B89" s="329"/>
      <c r="C89" s="330"/>
      <c r="D89" s="317"/>
      <c r="E89" s="318"/>
      <c r="F89" s="318"/>
      <c r="G89" s="318"/>
      <c r="H89" s="319" t="s">
        <v>613</v>
      </c>
      <c r="I89" s="337">
        <v>1.35</v>
      </c>
      <c r="J89" s="321" t="s">
        <v>167</v>
      </c>
      <c r="K89" s="345">
        <v>1</v>
      </c>
      <c r="L89" s="321" t="s">
        <v>167</v>
      </c>
      <c r="M89" s="322">
        <v>2</v>
      </c>
      <c r="N89" s="321"/>
      <c r="O89" s="321"/>
      <c r="P89" s="321"/>
      <c r="Q89" s="321"/>
      <c r="R89" s="321" t="s">
        <v>539</v>
      </c>
      <c r="S89" s="323">
        <f>I89*K89*M89</f>
        <v>2.7</v>
      </c>
      <c r="T89" s="324"/>
      <c r="U89" s="334"/>
    </row>
    <row r="90" spans="2:21">
      <c r="B90" s="329"/>
      <c r="C90" s="330"/>
      <c r="D90" s="317"/>
      <c r="E90" s="318"/>
      <c r="F90" s="318"/>
      <c r="G90" s="318"/>
      <c r="H90" s="319"/>
      <c r="I90" s="337"/>
      <c r="J90" s="321"/>
      <c r="K90" s="322"/>
      <c r="L90" s="321"/>
      <c r="M90" s="322"/>
      <c r="N90" s="321"/>
      <c r="O90" s="321"/>
      <c r="P90" s="321"/>
      <c r="Q90" s="321"/>
      <c r="R90" s="321"/>
      <c r="S90" s="323"/>
      <c r="T90" s="324"/>
      <c r="U90" s="332"/>
    </row>
    <row r="91" spans="2:21">
      <c r="B91" s="329"/>
      <c r="C91" s="330"/>
      <c r="D91" s="317"/>
      <c r="E91" s="318"/>
      <c r="F91" s="318"/>
      <c r="G91" s="318"/>
      <c r="H91" s="319"/>
      <c r="I91" s="337"/>
      <c r="J91" s="321"/>
      <c r="K91" s="322"/>
      <c r="L91" s="321"/>
      <c r="M91" s="322"/>
      <c r="N91" s="321"/>
      <c r="O91" s="321"/>
      <c r="P91" s="321"/>
      <c r="Q91" s="321"/>
      <c r="R91" s="321"/>
      <c r="S91" s="323"/>
      <c r="T91" s="324"/>
      <c r="U91" s="332"/>
    </row>
    <row r="92" spans="2:21">
      <c r="B92" s="329">
        <f>RAB!B47</f>
        <v>9</v>
      </c>
      <c r="C92" s="330" t="str">
        <f>RAB!D47</f>
        <v>Memasang dinding granit tile  uk. (60x60) cm (km, t.wudhu)</v>
      </c>
      <c r="D92" s="317"/>
      <c r="E92" s="318"/>
      <c r="F92" s="318"/>
      <c r="G92" s="318"/>
      <c r="H92" s="319"/>
      <c r="I92" s="337"/>
      <c r="J92" s="321"/>
      <c r="K92" s="322"/>
      <c r="L92" s="321"/>
      <c r="M92" s="322"/>
      <c r="N92" s="321"/>
      <c r="O92" s="321"/>
      <c r="P92" s="321"/>
      <c r="Q92" s="321"/>
      <c r="R92" s="321"/>
      <c r="S92" s="323"/>
      <c r="T92" s="324"/>
      <c r="U92" s="332"/>
    </row>
    <row r="93" spans="2:21">
      <c r="B93" s="329"/>
      <c r="C93" s="330"/>
      <c r="D93" s="317"/>
      <c r="E93" s="318"/>
      <c r="F93" s="318"/>
      <c r="G93" s="318"/>
      <c r="H93" s="319" t="str">
        <f>H87</f>
        <v>Wudhu pria</v>
      </c>
      <c r="I93" s="337">
        <f>I87</f>
        <v>3.5</v>
      </c>
      <c r="J93" s="321" t="s">
        <v>167</v>
      </c>
      <c r="K93" s="322">
        <v>1.2</v>
      </c>
      <c r="L93" s="321"/>
      <c r="M93" s="322"/>
      <c r="N93" s="321"/>
      <c r="O93" s="321"/>
      <c r="P93" s="321"/>
      <c r="Q93" s="321"/>
      <c r="R93" s="321" t="s">
        <v>539</v>
      </c>
      <c r="S93" s="323">
        <f>I93*K93</f>
        <v>4.2</v>
      </c>
      <c r="T93" s="324"/>
      <c r="U93" s="332"/>
    </row>
    <row r="94" spans="2:21">
      <c r="B94" s="329"/>
      <c r="C94" s="330"/>
      <c r="D94" s="317"/>
      <c r="E94" s="318"/>
      <c r="F94" s="318"/>
      <c r="G94" s="318"/>
      <c r="H94" s="319" t="str">
        <f>H88</f>
        <v>Wudhu wanita</v>
      </c>
      <c r="I94" s="337">
        <f>I88</f>
        <v>5.15</v>
      </c>
      <c r="J94" s="321" t="s">
        <v>167</v>
      </c>
      <c r="K94" s="322">
        <v>1.2</v>
      </c>
      <c r="L94" s="321"/>
      <c r="M94" s="322"/>
      <c r="N94" s="321"/>
      <c r="O94" s="321"/>
      <c r="P94" s="321"/>
      <c r="Q94" s="321"/>
      <c r="R94" s="321" t="s">
        <v>539</v>
      </c>
      <c r="S94" s="323">
        <f>I94*K94</f>
        <v>6.1800000000000006</v>
      </c>
      <c r="T94" s="324"/>
      <c r="U94" s="332"/>
    </row>
    <row r="95" spans="2:21">
      <c r="B95" s="329"/>
      <c r="C95" s="330"/>
      <c r="D95" s="317"/>
      <c r="E95" s="318"/>
      <c r="F95" s="318"/>
      <c r="G95" s="318"/>
      <c r="H95" s="319" t="str">
        <f>H89</f>
        <v>KM</v>
      </c>
      <c r="I95" s="337">
        <f>(I89+I89+K89+K89)-0.7</f>
        <v>4</v>
      </c>
      <c r="J95" s="321" t="s">
        <v>167</v>
      </c>
      <c r="K95" s="322">
        <v>1.2</v>
      </c>
      <c r="L95" s="321" t="s">
        <v>167</v>
      </c>
      <c r="M95" s="322">
        <f>M89</f>
        <v>2</v>
      </c>
      <c r="N95" s="321"/>
      <c r="O95" s="321"/>
      <c r="P95" s="321"/>
      <c r="Q95" s="321"/>
      <c r="R95" s="321" t="s">
        <v>539</v>
      </c>
      <c r="S95" s="323">
        <f>I95*K95*M95</f>
        <v>9.6</v>
      </c>
      <c r="T95" s="324"/>
      <c r="U95" s="332"/>
    </row>
    <row r="96" spans="2:21">
      <c r="B96" s="329"/>
      <c r="C96" s="330"/>
      <c r="D96" s="317"/>
      <c r="E96" s="318"/>
      <c r="F96" s="318"/>
      <c r="G96" s="318"/>
      <c r="H96" s="319"/>
      <c r="I96" s="337"/>
      <c r="J96" s="321"/>
      <c r="K96" s="322"/>
      <c r="L96" s="321"/>
      <c r="M96" s="322"/>
      <c r="N96" s="321"/>
      <c r="O96" s="321"/>
      <c r="P96" s="321"/>
      <c r="Q96" s="321"/>
      <c r="R96" s="321"/>
      <c r="S96" s="323">
        <f>SUM(S93:S95)</f>
        <v>19.98</v>
      </c>
      <c r="T96" s="324">
        <f>S96</f>
        <v>19.98</v>
      </c>
      <c r="U96" s="332" t="s">
        <v>100</v>
      </c>
    </row>
    <row r="97" spans="2:30">
      <c r="B97" s="329"/>
      <c r="C97" s="330"/>
      <c r="D97" s="317"/>
      <c r="E97" s="318"/>
      <c r="F97" s="318"/>
      <c r="G97" s="318"/>
      <c r="H97" s="319"/>
      <c r="I97" s="337"/>
      <c r="J97" s="321"/>
      <c r="K97" s="322"/>
      <c r="L97" s="321"/>
      <c r="M97" s="322"/>
      <c r="N97" s="321"/>
      <c r="O97" s="321"/>
      <c r="P97" s="321"/>
      <c r="Q97" s="321"/>
      <c r="R97" s="321"/>
      <c r="S97" s="323"/>
      <c r="T97" s="324"/>
      <c r="U97" s="332"/>
    </row>
    <row r="98" spans="2:30">
      <c r="B98" s="329">
        <f>RAB!B48</f>
        <v>10</v>
      </c>
      <c r="C98" s="330" t="str">
        <f>RAB!D48</f>
        <v>Memasang plint lantai Granit tile uk. (10 x 60) cm</v>
      </c>
      <c r="D98" s="317"/>
      <c r="E98" s="318"/>
      <c r="F98" s="318"/>
      <c r="G98" s="318"/>
      <c r="H98" s="319"/>
      <c r="I98" s="337">
        <f>5+5+6+6</f>
        <v>22</v>
      </c>
      <c r="J98" s="321"/>
      <c r="K98" s="322"/>
      <c r="L98" s="321"/>
      <c r="M98" s="322"/>
      <c r="N98" s="321"/>
      <c r="O98" s="321"/>
      <c r="P98" s="321"/>
      <c r="Q98" s="321"/>
      <c r="R98" s="321" t="s">
        <v>539</v>
      </c>
      <c r="S98" s="323">
        <f>I98</f>
        <v>22</v>
      </c>
      <c r="T98" s="324">
        <f>S98</f>
        <v>22</v>
      </c>
      <c r="U98" s="332" t="s">
        <v>32</v>
      </c>
    </row>
    <row r="99" spans="2:30">
      <c r="B99" s="326"/>
      <c r="C99" s="327"/>
      <c r="D99" s="317"/>
      <c r="E99" s="318"/>
      <c r="F99" s="318"/>
      <c r="G99" s="318"/>
      <c r="H99" s="319"/>
      <c r="I99" s="337"/>
      <c r="J99" s="321"/>
      <c r="K99" s="322"/>
      <c r="L99" s="321"/>
      <c r="M99" s="429"/>
      <c r="N99" s="321"/>
      <c r="O99" s="321"/>
      <c r="P99" s="321"/>
      <c r="Q99" s="321"/>
      <c r="R99" s="321"/>
      <c r="S99" s="323"/>
      <c r="T99" s="324"/>
      <c r="U99" s="332"/>
    </row>
    <row r="100" spans="2:30">
      <c r="B100" s="326" t="str">
        <f>RAB!B51</f>
        <v>IV</v>
      </c>
      <c r="C100" s="327" t="str">
        <f>RAB!D51</f>
        <v>PEKERJAAN BETON</v>
      </c>
      <c r="D100" s="317"/>
      <c r="E100" s="318"/>
      <c r="F100" s="318"/>
      <c r="G100" s="318"/>
      <c r="H100" s="428"/>
      <c r="I100" s="395"/>
      <c r="J100" s="346"/>
      <c r="K100" s="396"/>
      <c r="L100" s="346"/>
      <c r="M100" s="396"/>
      <c r="N100" s="346"/>
      <c r="O100" s="346"/>
      <c r="P100" s="346"/>
      <c r="Q100" s="346"/>
      <c r="R100" s="346"/>
      <c r="S100" s="347"/>
      <c r="T100" s="324"/>
      <c r="U100" s="332"/>
    </row>
    <row r="101" spans="2:30">
      <c r="B101" s="329"/>
      <c r="C101" s="327" t="str">
        <f>RAB!D52</f>
        <v>Lantai kerja</v>
      </c>
      <c r="D101" s="317"/>
      <c r="E101" s="318"/>
      <c r="F101" s="318"/>
      <c r="G101" s="318"/>
      <c r="H101" s="428"/>
      <c r="I101" s="320" t="s">
        <v>535</v>
      </c>
      <c r="J101" s="321" t="s">
        <v>167</v>
      </c>
      <c r="K101" s="321" t="s">
        <v>536</v>
      </c>
      <c r="L101" s="321" t="s">
        <v>167</v>
      </c>
      <c r="M101" s="322" t="s">
        <v>537</v>
      </c>
      <c r="N101" s="321"/>
      <c r="O101" s="321"/>
      <c r="P101" s="321"/>
      <c r="Q101" s="321"/>
      <c r="R101" s="321"/>
      <c r="S101" s="323"/>
      <c r="T101" s="324"/>
      <c r="U101" s="332"/>
    </row>
    <row r="102" spans="2:30">
      <c r="B102" s="329">
        <f>RAB!B53</f>
        <v>1</v>
      </c>
      <c r="C102" s="330" t="str">
        <f>RAB!D53</f>
        <v>Membuat lantai kerja beton mutu f'c = 7,4 Mpa slump (3-6) cm, w/c = 0,87</v>
      </c>
      <c r="D102" s="317"/>
      <c r="E102" s="318"/>
      <c r="F102" s="318"/>
      <c r="G102" s="318"/>
      <c r="H102" s="428"/>
      <c r="I102" s="476">
        <f>I24</f>
        <v>9</v>
      </c>
      <c r="J102" s="477" t="s">
        <v>167</v>
      </c>
      <c r="K102" s="478">
        <f>K24</f>
        <v>5</v>
      </c>
      <c r="L102" s="477" t="s">
        <v>167</v>
      </c>
      <c r="M102" s="483">
        <v>0.05</v>
      </c>
      <c r="N102" s="477"/>
      <c r="O102" s="477"/>
      <c r="P102" s="477"/>
      <c r="Q102" s="477"/>
      <c r="R102" s="477" t="s">
        <v>539</v>
      </c>
      <c r="S102" s="480">
        <f>I102*K102*M102</f>
        <v>2.25</v>
      </c>
      <c r="T102" s="481">
        <f>S102</f>
        <v>2.25</v>
      </c>
      <c r="U102" s="482" t="s">
        <v>68</v>
      </c>
    </row>
    <row r="103" spans="2:30">
      <c r="B103" s="329"/>
      <c r="C103" s="327" t="str">
        <f>RAB!D54</f>
        <v>Sloof 12/20</v>
      </c>
      <c r="D103" s="317"/>
      <c r="E103" s="318"/>
      <c r="F103" s="318"/>
      <c r="G103" s="318"/>
      <c r="H103" s="428"/>
      <c r="I103" s="476"/>
      <c r="J103" s="477"/>
      <c r="K103" s="478"/>
      <c r="L103" s="477"/>
      <c r="M103" s="483"/>
      <c r="N103" s="477"/>
      <c r="O103" s="477"/>
      <c r="P103" s="477"/>
      <c r="Q103" s="477"/>
      <c r="R103" s="477"/>
      <c r="S103" s="480"/>
      <c r="T103" s="481"/>
      <c r="U103" s="482"/>
    </row>
    <row r="104" spans="2:30">
      <c r="B104" s="329">
        <f>RAB!B55</f>
        <v>2</v>
      </c>
      <c r="C104" s="330" t="str">
        <f>RAB!D55</f>
        <v>Pembuatan 1 m3 Beton Mutu f'=14,5 Mpa (K175)</v>
      </c>
      <c r="D104" s="317"/>
      <c r="E104" s="318"/>
      <c r="F104" s="318"/>
      <c r="G104" s="318"/>
      <c r="H104" s="428"/>
      <c r="I104" s="476">
        <f>I28+1.7</f>
        <v>39.300000000000004</v>
      </c>
      <c r="J104" s="477" t="s">
        <v>167</v>
      </c>
      <c r="K104" s="478">
        <v>0.12</v>
      </c>
      <c r="L104" s="477" t="s">
        <v>167</v>
      </c>
      <c r="M104" s="483">
        <v>0.2</v>
      </c>
      <c r="N104" s="477"/>
      <c r="O104" s="477"/>
      <c r="P104" s="477"/>
      <c r="Q104" s="477"/>
      <c r="R104" s="477" t="s">
        <v>539</v>
      </c>
      <c r="S104" s="480">
        <f>I104*K104*M104</f>
        <v>0.94320000000000004</v>
      </c>
      <c r="T104" s="481">
        <f>S104</f>
        <v>0.94320000000000004</v>
      </c>
      <c r="U104" s="482" t="s">
        <v>68</v>
      </c>
      <c r="W104">
        <f>T106/T104</f>
        <v>155.28870000000003</v>
      </c>
    </row>
    <row r="105" spans="2:30">
      <c r="B105" s="329"/>
      <c r="C105" s="330"/>
      <c r="D105" s="317"/>
      <c r="E105" s="318"/>
      <c r="F105" s="318"/>
      <c r="G105" s="318"/>
      <c r="H105" s="428"/>
      <c r="I105" s="476"/>
      <c r="J105" s="477"/>
      <c r="K105" s="478" t="s">
        <v>595</v>
      </c>
      <c r="L105" s="477"/>
      <c r="M105" s="483"/>
      <c r="N105" s="477"/>
      <c r="O105" s="477"/>
      <c r="P105" s="477"/>
      <c r="Q105" s="477"/>
      <c r="R105" s="477"/>
      <c r="S105" s="480"/>
      <c r="T105" s="481"/>
      <c r="U105" s="482"/>
    </row>
    <row r="106" spans="2:30">
      <c r="B106" s="329">
        <f>RAB!B56</f>
        <v>3</v>
      </c>
      <c r="C106" s="330" t="str">
        <f>RAB!D56</f>
        <v>Pembesian 1 kg dengan besi polos atau besi ulir</v>
      </c>
      <c r="D106" s="317"/>
      <c r="E106" s="318"/>
      <c r="F106" s="318"/>
      <c r="G106" s="318">
        <v>10</v>
      </c>
      <c r="H106" s="430" t="s">
        <v>700</v>
      </c>
      <c r="I106" s="476">
        <f>I104</f>
        <v>39.300000000000004</v>
      </c>
      <c r="J106" s="477" t="s">
        <v>167</v>
      </c>
      <c r="K106" s="478">
        <f>AA106</f>
        <v>0.61622500000000013</v>
      </c>
      <c r="L106" s="477" t="s">
        <v>167</v>
      </c>
      <c r="M106" s="483">
        <v>4</v>
      </c>
      <c r="N106" s="477"/>
      <c r="O106" s="477"/>
      <c r="P106" s="477"/>
      <c r="Q106" s="477"/>
      <c r="R106" s="477" t="s">
        <v>539</v>
      </c>
      <c r="S106" s="480">
        <f>I106*K106*M106</f>
        <v>96.870570000000029</v>
      </c>
      <c r="T106" s="481">
        <f>SUM(S106:S107)</f>
        <v>146.46830184000004</v>
      </c>
      <c r="U106" s="482" t="s">
        <v>73</v>
      </c>
      <c r="W106" s="339">
        <v>10</v>
      </c>
      <c r="X106" s="340">
        <f>W106*0.001</f>
        <v>0.01</v>
      </c>
      <c r="Y106" s="341">
        <v>7850</v>
      </c>
      <c r="Z106" s="342">
        <f>0.25*3.14*(X106*X106)</f>
        <v>7.8500000000000011E-5</v>
      </c>
      <c r="AA106" s="344">
        <f>Y106*Z106*AB106</f>
        <v>0.61622500000000013</v>
      </c>
      <c r="AB106" s="341">
        <v>1</v>
      </c>
      <c r="AC106" s="343">
        <f>AA106*12</f>
        <v>7.394700000000002</v>
      </c>
      <c r="AD106" s="296" t="s">
        <v>541</v>
      </c>
    </row>
    <row r="107" spans="2:30">
      <c r="B107" s="329"/>
      <c r="C107" s="330"/>
      <c r="D107" s="317"/>
      <c r="E107" s="318"/>
      <c r="F107" s="318"/>
      <c r="G107" s="318">
        <v>8</v>
      </c>
      <c r="H107" s="430" t="s">
        <v>597</v>
      </c>
      <c r="I107" s="476">
        <f>K104+K104+M104+M104</f>
        <v>0.64</v>
      </c>
      <c r="J107" s="477" t="s">
        <v>167</v>
      </c>
      <c r="K107" s="478">
        <f>AA107</f>
        <v>0.39438400000000001</v>
      </c>
      <c r="L107" s="477" t="s">
        <v>167</v>
      </c>
      <c r="M107" s="478">
        <f>I106/0.2</f>
        <v>196.5</v>
      </c>
      <c r="N107" s="477"/>
      <c r="O107" s="477"/>
      <c r="P107" s="477"/>
      <c r="Q107" s="477"/>
      <c r="R107" s="477" t="s">
        <v>539</v>
      </c>
      <c r="S107" s="480">
        <f>I107*K107*M107</f>
        <v>49.597731840000009</v>
      </c>
      <c r="T107" s="481"/>
      <c r="U107" s="482"/>
      <c r="W107" s="339">
        <v>8</v>
      </c>
      <c r="X107" s="340">
        <f>W107*0.001</f>
        <v>8.0000000000000002E-3</v>
      </c>
      <c r="Y107" s="341">
        <v>7850</v>
      </c>
      <c r="Z107" s="342">
        <f>0.25*3.14*(X107*X107)</f>
        <v>5.024E-5</v>
      </c>
      <c r="AA107" s="344">
        <f>Y107*Z107*AB107</f>
        <v>0.39438400000000001</v>
      </c>
      <c r="AB107" s="341">
        <v>1</v>
      </c>
      <c r="AC107" s="343">
        <f>AA107*12</f>
        <v>4.7326079999999999</v>
      </c>
      <c r="AD107" s="296" t="s">
        <v>541</v>
      </c>
    </row>
    <row r="108" spans="2:30">
      <c r="B108" s="329">
        <f>RAB!B57</f>
        <v>4</v>
      </c>
      <c r="C108" s="330" t="str">
        <f>RAB!D57</f>
        <v>Memasang bekisting</v>
      </c>
      <c r="D108" s="317"/>
      <c r="E108" s="318"/>
      <c r="F108" s="318"/>
      <c r="G108" s="318"/>
      <c r="H108" s="428"/>
      <c r="I108" s="476">
        <f>I104</f>
        <v>39.300000000000004</v>
      </c>
      <c r="J108" s="477" t="s">
        <v>167</v>
      </c>
      <c r="K108" s="478">
        <f>M104+M104</f>
        <v>0.4</v>
      </c>
      <c r="L108" s="477"/>
      <c r="M108" s="479"/>
      <c r="N108" s="477"/>
      <c r="O108" s="477"/>
      <c r="P108" s="477"/>
      <c r="Q108" s="477"/>
      <c r="R108" s="477" t="s">
        <v>539</v>
      </c>
      <c r="S108" s="480">
        <f>I108*K108</f>
        <v>15.720000000000002</v>
      </c>
      <c r="T108" s="481">
        <f>S108</f>
        <v>15.720000000000002</v>
      </c>
      <c r="U108" s="482" t="s">
        <v>100</v>
      </c>
    </row>
    <row r="109" spans="2:30">
      <c r="B109" s="329"/>
      <c r="C109" s="327" t="str">
        <f>RAB!D58</f>
        <v>Kolom praktis</v>
      </c>
      <c r="D109" s="317"/>
      <c r="E109" s="318"/>
      <c r="F109" s="318"/>
      <c r="G109" s="318"/>
      <c r="H109" s="428"/>
      <c r="I109" s="476"/>
      <c r="J109" s="477"/>
      <c r="K109" s="478"/>
      <c r="L109" s="477"/>
      <c r="M109" s="479"/>
      <c r="N109" s="477"/>
      <c r="O109" s="477"/>
      <c r="P109" s="477"/>
      <c r="Q109" s="477"/>
      <c r="R109" s="477"/>
      <c r="S109" s="480"/>
      <c r="T109" s="481"/>
      <c r="U109" s="482"/>
    </row>
    <row r="110" spans="2:30">
      <c r="B110" s="329">
        <f>RAB!B59</f>
        <v>5</v>
      </c>
      <c r="C110" s="330" t="str">
        <f>RAB!D59</f>
        <v>Pembuatan 1 m3 Beton Mutu f'=14,5 Mpa (K175)</v>
      </c>
      <c r="D110" s="317"/>
      <c r="E110" s="318"/>
      <c r="F110" s="318"/>
      <c r="G110" s="318"/>
      <c r="H110" s="428"/>
      <c r="I110" s="476">
        <v>4</v>
      </c>
      <c r="J110" s="477" t="s">
        <v>167</v>
      </c>
      <c r="K110" s="478">
        <v>0.12</v>
      </c>
      <c r="L110" s="477" t="s">
        <v>167</v>
      </c>
      <c r="M110" s="478">
        <v>0.12</v>
      </c>
      <c r="N110" s="477" t="s">
        <v>167</v>
      </c>
      <c r="O110" s="576">
        <f>M112</f>
        <v>20</v>
      </c>
      <c r="P110" s="477"/>
      <c r="Q110" s="477"/>
      <c r="R110" s="477" t="s">
        <v>539</v>
      </c>
      <c r="S110" s="480">
        <f>I110*K110*M110*O110</f>
        <v>1.1519999999999999</v>
      </c>
      <c r="T110" s="481">
        <f>S110</f>
        <v>1.1519999999999999</v>
      </c>
      <c r="U110" s="482" t="s">
        <v>68</v>
      </c>
      <c r="W110" s="562">
        <f>T112/T110</f>
        <v>108.52406944444446</v>
      </c>
    </row>
    <row r="111" spans="2:30">
      <c r="B111" s="329"/>
      <c r="C111" s="330"/>
      <c r="D111" s="317"/>
      <c r="E111" s="318"/>
      <c r="F111" s="318"/>
      <c r="G111" s="318"/>
      <c r="H111" s="428"/>
      <c r="I111" s="476"/>
      <c r="J111" s="477"/>
      <c r="K111" s="478" t="s">
        <v>595</v>
      </c>
      <c r="L111" s="477"/>
      <c r="M111" s="483"/>
      <c r="N111" s="477"/>
      <c r="O111" s="477"/>
      <c r="P111" s="477"/>
      <c r="Q111" s="477"/>
      <c r="R111" s="477"/>
      <c r="S111" s="480"/>
      <c r="T111" s="481"/>
      <c r="U111" s="482"/>
    </row>
    <row r="112" spans="2:30">
      <c r="B112" s="329">
        <f>RAB!B60</f>
        <v>6</v>
      </c>
      <c r="C112" s="330" t="str">
        <f>RAB!D60</f>
        <v>Pembesian 1 kg dengan besi polos atau besi ulir</v>
      </c>
      <c r="D112" s="317"/>
      <c r="E112" s="318"/>
      <c r="F112" s="318"/>
      <c r="G112" s="318">
        <v>10</v>
      </c>
      <c r="H112" s="430" t="s">
        <v>700</v>
      </c>
      <c r="I112" s="476">
        <f>I110</f>
        <v>4</v>
      </c>
      <c r="J112" s="477" t="s">
        <v>167</v>
      </c>
      <c r="K112" s="478">
        <f>AA112</f>
        <v>0.61622500000000013</v>
      </c>
      <c r="L112" s="477" t="s">
        <v>167</v>
      </c>
      <c r="M112" s="483">
        <v>20</v>
      </c>
      <c r="N112" s="477" t="s">
        <v>167</v>
      </c>
      <c r="O112" s="477"/>
      <c r="P112" s="477"/>
      <c r="Q112" s="477"/>
      <c r="R112" s="477" t="s">
        <v>539</v>
      </c>
      <c r="S112" s="480">
        <f>I112*K112*M112</f>
        <v>49.298000000000009</v>
      </c>
      <c r="T112" s="481">
        <f>S114</f>
        <v>125.01972800000001</v>
      </c>
      <c r="U112" s="482" t="s">
        <v>73</v>
      </c>
      <c r="W112" s="339">
        <v>10</v>
      </c>
      <c r="X112" s="340">
        <f>W112*0.001</f>
        <v>0.01</v>
      </c>
      <c r="Y112" s="341">
        <v>7850</v>
      </c>
      <c r="Z112" s="342">
        <f>0.25*3.14*(X112*X112)</f>
        <v>7.8500000000000011E-5</v>
      </c>
      <c r="AA112" s="344">
        <f>Y112*Z112*AB112</f>
        <v>0.61622500000000013</v>
      </c>
      <c r="AB112" s="341">
        <v>1</v>
      </c>
      <c r="AC112" s="343">
        <f>AA112*12</f>
        <v>7.394700000000002</v>
      </c>
      <c r="AD112" s="296" t="s">
        <v>541</v>
      </c>
    </row>
    <row r="113" spans="2:30">
      <c r="B113" s="329"/>
      <c r="C113" s="330"/>
      <c r="D113" s="317"/>
      <c r="E113" s="318"/>
      <c r="F113" s="318"/>
      <c r="G113" s="318">
        <v>8</v>
      </c>
      <c r="H113" s="430" t="s">
        <v>597</v>
      </c>
      <c r="I113" s="476">
        <f>K110+K110+M110+M110</f>
        <v>0.48</v>
      </c>
      <c r="J113" s="477" t="s">
        <v>167</v>
      </c>
      <c r="K113" s="478">
        <f>AA113</f>
        <v>0.39438400000000001</v>
      </c>
      <c r="L113" s="477" t="s">
        <v>167</v>
      </c>
      <c r="M113" s="483">
        <f>I112/0.2</f>
        <v>20</v>
      </c>
      <c r="N113" s="477" t="s">
        <v>167</v>
      </c>
      <c r="O113" s="576">
        <f>M112</f>
        <v>20</v>
      </c>
      <c r="P113" s="477"/>
      <c r="Q113" s="477"/>
      <c r="R113" s="477" t="s">
        <v>539</v>
      </c>
      <c r="S113" s="480">
        <f>I113*K113*M113*O113</f>
        <v>75.721727999999999</v>
      </c>
      <c r="T113" s="481"/>
      <c r="U113" s="482"/>
      <c r="W113" s="339">
        <v>8</v>
      </c>
      <c r="X113" s="340">
        <f>W113*0.001</f>
        <v>8.0000000000000002E-3</v>
      </c>
      <c r="Y113" s="341">
        <v>7850</v>
      </c>
      <c r="Z113" s="342">
        <f>0.25*3.14*(X113*X113)</f>
        <v>5.024E-5</v>
      </c>
      <c r="AA113" s="344">
        <f>Y113*Z113*AB113</f>
        <v>0.39438400000000001</v>
      </c>
      <c r="AB113" s="341">
        <v>1</v>
      </c>
      <c r="AC113" s="343">
        <f>AA113*12</f>
        <v>4.7326079999999999</v>
      </c>
      <c r="AD113" s="296" t="s">
        <v>541</v>
      </c>
    </row>
    <row r="114" spans="2:30">
      <c r="B114" s="329"/>
      <c r="C114" s="330"/>
      <c r="D114" s="317"/>
      <c r="E114" s="318"/>
      <c r="F114" s="318"/>
      <c r="G114" s="318"/>
      <c r="H114" s="430"/>
      <c r="I114" s="476"/>
      <c r="J114" s="477"/>
      <c r="K114" s="478"/>
      <c r="L114" s="477"/>
      <c r="M114" s="483"/>
      <c r="N114" s="477"/>
      <c r="O114" s="477"/>
      <c r="P114" s="477"/>
      <c r="Q114" s="477"/>
      <c r="R114" s="477"/>
      <c r="S114" s="480">
        <f>SUM(S112:S113)</f>
        <v>125.01972800000001</v>
      </c>
      <c r="T114" s="481"/>
      <c r="U114" s="482"/>
      <c r="W114" s="339"/>
      <c r="X114" s="340"/>
      <c r="Y114" s="341"/>
      <c r="Z114" s="342"/>
      <c r="AA114" s="344"/>
      <c r="AB114" s="341"/>
      <c r="AC114" s="343"/>
      <c r="AD114" s="296"/>
    </row>
    <row r="115" spans="2:30">
      <c r="B115" s="329">
        <f>RAB!B61</f>
        <v>7</v>
      </c>
      <c r="C115" s="330" t="str">
        <f>RAB!D61</f>
        <v>Memasang bekisting</v>
      </c>
      <c r="D115" s="317"/>
      <c r="E115" s="318"/>
      <c r="F115" s="318"/>
      <c r="G115" s="318"/>
      <c r="H115" s="428"/>
      <c r="I115" s="476">
        <f>I110</f>
        <v>4</v>
      </c>
      <c r="J115" s="477" t="s">
        <v>167</v>
      </c>
      <c r="K115" s="478">
        <f>M110*2</f>
        <v>0.24</v>
      </c>
      <c r="L115" s="477" t="s">
        <v>167</v>
      </c>
      <c r="M115" s="478">
        <f>O113</f>
        <v>20</v>
      </c>
      <c r="N115" s="477"/>
      <c r="O115" s="477"/>
      <c r="P115" s="477"/>
      <c r="Q115" s="477"/>
      <c r="R115" s="477" t="s">
        <v>539</v>
      </c>
      <c r="S115" s="480">
        <f>I115*K115*M115</f>
        <v>19.2</v>
      </c>
      <c r="T115" s="481">
        <f>S115</f>
        <v>19.2</v>
      </c>
      <c r="U115" s="482" t="s">
        <v>100</v>
      </c>
    </row>
    <row r="116" spans="2:30">
      <c r="B116" s="329"/>
      <c r="C116" s="327" t="str">
        <f>RAB!D62</f>
        <v>Ringbalk 12/20</v>
      </c>
      <c r="D116" s="317"/>
      <c r="E116" s="318"/>
      <c r="F116" s="318"/>
      <c r="G116" s="318"/>
      <c r="H116" s="319"/>
      <c r="I116" s="476"/>
      <c r="J116" s="477"/>
      <c r="K116" s="478"/>
      <c r="L116" s="477"/>
      <c r="M116" s="478"/>
      <c r="N116" s="477"/>
      <c r="O116" s="477"/>
      <c r="P116" s="477"/>
      <c r="Q116" s="477"/>
      <c r="R116" s="477"/>
      <c r="S116" s="480"/>
      <c r="T116" s="481"/>
      <c r="U116" s="482"/>
    </row>
    <row r="117" spans="2:30">
      <c r="B117" s="329">
        <f>RAB!B63</f>
        <v>8</v>
      </c>
      <c r="C117" s="330" t="str">
        <f>RAB!D63</f>
        <v>Pembuatan 1 m3 Beton Mutu f'=14,5 Mpa (K175)</v>
      </c>
      <c r="D117" s="317"/>
      <c r="E117" s="318"/>
      <c r="F117" s="318"/>
      <c r="G117" s="318"/>
      <c r="H117" s="319"/>
      <c r="I117" s="476">
        <f>I106</f>
        <v>39.300000000000004</v>
      </c>
      <c r="J117" s="477" t="s">
        <v>167</v>
      </c>
      <c r="K117" s="478">
        <v>0.12</v>
      </c>
      <c r="L117" s="477" t="s">
        <v>167</v>
      </c>
      <c r="M117" s="478">
        <v>0.2</v>
      </c>
      <c r="N117" s="477"/>
      <c r="O117" s="477"/>
      <c r="P117" s="477"/>
      <c r="Q117" s="477"/>
      <c r="R117" s="477" t="s">
        <v>539</v>
      </c>
      <c r="S117" s="480">
        <f>I117*K117*M117</f>
        <v>0.94320000000000004</v>
      </c>
      <c r="T117" s="481">
        <f>S117</f>
        <v>0.94320000000000004</v>
      </c>
      <c r="U117" s="482" t="s">
        <v>68</v>
      </c>
      <c r="W117">
        <f>T122/T117</f>
        <v>16.666666666666668</v>
      </c>
    </row>
    <row r="118" spans="2:30">
      <c r="B118" s="329"/>
      <c r="C118" s="330"/>
      <c r="D118" s="317"/>
      <c r="E118" s="318"/>
      <c r="F118" s="318"/>
      <c r="G118" s="318"/>
      <c r="H118" s="428"/>
      <c r="I118" s="476"/>
      <c r="J118" s="477"/>
      <c r="K118" s="478" t="s">
        <v>595</v>
      </c>
      <c r="L118" s="477"/>
      <c r="M118" s="483"/>
      <c r="N118" s="477"/>
      <c r="O118" s="477"/>
      <c r="P118" s="477"/>
      <c r="Q118" s="477"/>
      <c r="R118" s="477"/>
      <c r="S118" s="480"/>
      <c r="T118" s="481"/>
      <c r="U118" s="482"/>
    </row>
    <row r="119" spans="2:30">
      <c r="B119" s="329">
        <f>RAB!B64</f>
        <v>9</v>
      </c>
      <c r="C119" s="330" t="str">
        <f>RAB!D64</f>
        <v>Pembesian 1 kg dengan besi polos atau besi ulir</v>
      </c>
      <c r="D119" s="317"/>
      <c r="E119" s="318"/>
      <c r="F119" s="318"/>
      <c r="G119" s="318">
        <v>10</v>
      </c>
      <c r="H119" s="430" t="s">
        <v>596</v>
      </c>
      <c r="I119" s="476">
        <f>I117</f>
        <v>39.300000000000004</v>
      </c>
      <c r="J119" s="477" t="s">
        <v>167</v>
      </c>
      <c r="K119" s="478">
        <f>AA119</f>
        <v>0.61622500000000013</v>
      </c>
      <c r="L119" s="477" t="s">
        <v>167</v>
      </c>
      <c r="M119" s="483">
        <v>4</v>
      </c>
      <c r="N119" s="477"/>
      <c r="O119" s="477"/>
      <c r="P119" s="477"/>
      <c r="Q119" s="477"/>
      <c r="R119" s="477" t="s">
        <v>539</v>
      </c>
      <c r="S119" s="480">
        <f>I119*K119*M119</f>
        <v>96.870570000000029</v>
      </c>
      <c r="T119" s="481">
        <f>S121</f>
        <v>146.46830184000004</v>
      </c>
      <c r="U119" s="482" t="s">
        <v>73</v>
      </c>
      <c r="W119" s="339">
        <v>10</v>
      </c>
      <c r="X119" s="340">
        <f>W119*0.001</f>
        <v>0.01</v>
      </c>
      <c r="Y119" s="341">
        <v>7850</v>
      </c>
      <c r="Z119" s="342">
        <f>0.25*3.14*(X119*X119)</f>
        <v>7.8500000000000011E-5</v>
      </c>
      <c r="AA119" s="344">
        <f>Y119*Z119*AB119</f>
        <v>0.61622500000000013</v>
      </c>
      <c r="AB119" s="341">
        <v>1</v>
      </c>
      <c r="AC119" s="343">
        <f>AA119*12</f>
        <v>7.394700000000002</v>
      </c>
      <c r="AD119" s="296" t="s">
        <v>541</v>
      </c>
    </row>
    <row r="120" spans="2:30">
      <c r="B120" s="329"/>
      <c r="C120" s="330"/>
      <c r="D120" s="317"/>
      <c r="E120" s="318"/>
      <c r="F120" s="318"/>
      <c r="G120" s="318">
        <v>8</v>
      </c>
      <c r="H120" s="430" t="s">
        <v>597</v>
      </c>
      <c r="I120" s="476">
        <f>K117+K117+M117+M117</f>
        <v>0.64</v>
      </c>
      <c r="J120" s="477" t="s">
        <v>167</v>
      </c>
      <c r="K120" s="478">
        <f>AA120</f>
        <v>0.39438400000000001</v>
      </c>
      <c r="L120" s="477" t="s">
        <v>167</v>
      </c>
      <c r="M120" s="483">
        <f>I119/0.2</f>
        <v>196.5</v>
      </c>
      <c r="N120" s="477"/>
      <c r="O120" s="477"/>
      <c r="P120" s="477"/>
      <c r="Q120" s="477"/>
      <c r="R120" s="477" t="s">
        <v>539</v>
      </c>
      <c r="S120" s="480">
        <f>I120*K120*M120</f>
        <v>49.597731840000009</v>
      </c>
      <c r="T120" s="481"/>
      <c r="U120" s="482"/>
      <c r="W120" s="339">
        <v>8</v>
      </c>
      <c r="X120" s="340">
        <f>W120*0.001</f>
        <v>8.0000000000000002E-3</v>
      </c>
      <c r="Y120" s="341">
        <v>7850</v>
      </c>
      <c r="Z120" s="342">
        <f>0.25*3.14*(X120*X120)</f>
        <v>5.024E-5</v>
      </c>
      <c r="AA120" s="344">
        <f>Y120*Z120*AB120</f>
        <v>0.39438400000000001</v>
      </c>
      <c r="AB120" s="341">
        <v>1</v>
      </c>
      <c r="AC120" s="343">
        <f>AA120*12</f>
        <v>4.7326079999999999</v>
      </c>
      <c r="AD120" s="296" t="s">
        <v>541</v>
      </c>
    </row>
    <row r="121" spans="2:30">
      <c r="B121" s="329"/>
      <c r="C121" s="330"/>
      <c r="D121" s="317"/>
      <c r="E121" s="318"/>
      <c r="F121" s="318"/>
      <c r="G121" s="318"/>
      <c r="H121" s="430"/>
      <c r="I121" s="476"/>
      <c r="J121" s="477"/>
      <c r="K121" s="478"/>
      <c r="L121" s="477"/>
      <c r="M121" s="483"/>
      <c r="N121" s="477"/>
      <c r="O121" s="477"/>
      <c r="P121" s="477"/>
      <c r="Q121" s="477"/>
      <c r="R121" s="477"/>
      <c r="S121" s="480">
        <f>SUM(S119:S120)</f>
        <v>146.46830184000004</v>
      </c>
      <c r="T121" s="481"/>
      <c r="U121" s="482"/>
      <c r="W121" s="339"/>
      <c r="X121" s="340"/>
      <c r="Y121" s="341"/>
      <c r="Z121" s="342"/>
      <c r="AA121" s="344"/>
      <c r="AB121" s="341"/>
      <c r="AC121" s="343"/>
      <c r="AD121" s="296"/>
    </row>
    <row r="122" spans="2:30">
      <c r="B122" s="329">
        <f>RAB!B65</f>
        <v>10</v>
      </c>
      <c r="C122" s="330" t="str">
        <f>RAB!D65</f>
        <v>Memasang bekisting</v>
      </c>
      <c r="D122" s="317"/>
      <c r="E122" s="318"/>
      <c r="F122" s="318"/>
      <c r="G122" s="318"/>
      <c r="H122" s="428"/>
      <c r="I122" s="476">
        <f>I119</f>
        <v>39.300000000000004</v>
      </c>
      <c r="J122" s="477"/>
      <c r="K122" s="478">
        <f>M117+M117</f>
        <v>0.4</v>
      </c>
      <c r="L122" s="477"/>
      <c r="M122" s="478"/>
      <c r="N122" s="477"/>
      <c r="O122" s="477"/>
      <c r="P122" s="477"/>
      <c r="Q122" s="477"/>
      <c r="R122" s="477" t="s">
        <v>539</v>
      </c>
      <c r="S122" s="480">
        <f>I122*K122</f>
        <v>15.720000000000002</v>
      </c>
      <c r="T122" s="481">
        <f>S122</f>
        <v>15.720000000000002</v>
      </c>
      <c r="U122" s="482" t="s">
        <v>100</v>
      </c>
      <c r="W122" s="339"/>
    </row>
    <row r="123" spans="2:30">
      <c r="B123" s="329"/>
      <c r="C123" s="327" t="str">
        <f>RAB!D66</f>
        <v>Balok latai</v>
      </c>
      <c r="D123" s="317"/>
      <c r="E123" s="318"/>
      <c r="F123" s="318"/>
      <c r="G123" s="318"/>
      <c r="H123" s="319"/>
      <c r="I123" s="476"/>
      <c r="J123" s="477"/>
      <c r="K123" s="478"/>
      <c r="L123" s="477"/>
      <c r="M123" s="478"/>
      <c r="N123" s="477"/>
      <c r="O123" s="477"/>
      <c r="P123" s="477"/>
      <c r="Q123" s="477"/>
      <c r="R123" s="477"/>
      <c r="S123" s="480"/>
      <c r="T123" s="481"/>
      <c r="U123" s="482"/>
    </row>
    <row r="124" spans="2:30">
      <c r="B124" s="329">
        <f>RAB!B67</f>
        <v>11</v>
      </c>
      <c r="C124" s="330" t="str">
        <f>RAB!D67</f>
        <v>Pembuatan 1 m3 Beton Mutu f'=14,5 Mpa (K175)</v>
      </c>
      <c r="D124" s="317"/>
      <c r="E124" s="318"/>
      <c r="F124" s="318"/>
      <c r="G124" s="318"/>
      <c r="H124" s="319" t="s">
        <v>711</v>
      </c>
      <c r="I124" s="476">
        <v>0.12</v>
      </c>
      <c r="J124" s="477" t="s">
        <v>167</v>
      </c>
      <c r="K124" s="478">
        <v>0.12</v>
      </c>
      <c r="L124" s="477" t="s">
        <v>167</v>
      </c>
      <c r="M124" s="478">
        <f>5+1.25+2.35+2.35+2.65+1.25+1.15+1.25+4.7</f>
        <v>21.95</v>
      </c>
      <c r="N124" s="477"/>
      <c r="O124" s="477"/>
      <c r="P124" s="477"/>
      <c r="Q124" s="477"/>
      <c r="R124" s="477" t="s">
        <v>539</v>
      </c>
      <c r="S124" s="480">
        <f>I124*K124*M124</f>
        <v>0.31607999999999997</v>
      </c>
      <c r="T124" s="481">
        <f>S126</f>
        <v>0.57528000000000001</v>
      </c>
      <c r="U124" s="482" t="s">
        <v>68</v>
      </c>
      <c r="W124">
        <f>S131/T124</f>
        <v>236.90427777777785</v>
      </c>
    </row>
    <row r="125" spans="2:30">
      <c r="B125" s="329"/>
      <c r="C125" s="330"/>
      <c r="D125" s="317"/>
      <c r="E125" s="318"/>
      <c r="F125" s="318"/>
      <c r="G125" s="318"/>
      <c r="H125" s="319" t="s">
        <v>712</v>
      </c>
      <c r="I125" s="476">
        <v>0.12</v>
      </c>
      <c r="J125" s="477" t="s">
        <v>167</v>
      </c>
      <c r="K125" s="478">
        <v>0.12</v>
      </c>
      <c r="L125" s="477" t="s">
        <v>167</v>
      </c>
      <c r="M125" s="478">
        <v>18</v>
      </c>
      <c r="N125" s="477" t="s">
        <v>167</v>
      </c>
      <c r="O125" s="477">
        <v>1</v>
      </c>
      <c r="P125" s="477"/>
      <c r="Q125" s="477"/>
      <c r="R125" s="477" t="s">
        <v>539</v>
      </c>
      <c r="S125" s="480">
        <f>I125*K125*M125*O125</f>
        <v>0.25919999999999999</v>
      </c>
      <c r="T125" s="481"/>
      <c r="U125" s="482"/>
    </row>
    <row r="126" spans="2:30">
      <c r="B126" s="329"/>
      <c r="C126" s="330"/>
      <c r="D126" s="317"/>
      <c r="E126" s="318"/>
      <c r="F126" s="318"/>
      <c r="G126" s="318"/>
      <c r="H126" s="319"/>
      <c r="I126" s="476"/>
      <c r="J126" s="477"/>
      <c r="K126" s="478"/>
      <c r="L126" s="477"/>
      <c r="M126" s="478"/>
      <c r="N126" s="477"/>
      <c r="O126" s="477"/>
      <c r="P126" s="477"/>
      <c r="Q126" s="477"/>
      <c r="R126" s="477"/>
      <c r="S126" s="480">
        <f>SUM(S124:S125)</f>
        <v>0.57528000000000001</v>
      </c>
      <c r="T126" s="481"/>
      <c r="U126" s="482"/>
    </row>
    <row r="127" spans="2:30">
      <c r="B127" s="329">
        <f>RAB!B68</f>
        <v>12</v>
      </c>
      <c r="C127" s="330" t="str">
        <f>RAB!D68</f>
        <v>Pembesian 1 kg dengan besi polos atau besi ulir</v>
      </c>
      <c r="D127" s="317"/>
      <c r="E127" s="318"/>
      <c r="F127" s="318"/>
      <c r="G127" s="318"/>
      <c r="H127" s="319"/>
      <c r="I127" s="337"/>
      <c r="J127" s="321"/>
      <c r="K127" s="322"/>
      <c r="L127" s="321"/>
      <c r="M127" s="322" t="s">
        <v>595</v>
      </c>
      <c r="N127" s="321"/>
      <c r="O127" s="321"/>
      <c r="P127" s="321"/>
      <c r="Q127" s="321"/>
      <c r="R127" s="321"/>
      <c r="S127" s="323"/>
      <c r="T127" s="324"/>
      <c r="U127" s="332"/>
    </row>
    <row r="128" spans="2:30">
      <c r="B128" s="329"/>
      <c r="C128" s="330"/>
      <c r="D128" s="317"/>
      <c r="E128" s="318"/>
      <c r="F128" s="318"/>
      <c r="G128" s="318"/>
      <c r="H128" s="430" t="s">
        <v>596</v>
      </c>
      <c r="I128" s="337">
        <f>M124+M125</f>
        <v>39.950000000000003</v>
      </c>
      <c r="J128" s="321" t="s">
        <v>167</v>
      </c>
      <c r="K128" s="322">
        <v>4</v>
      </c>
      <c r="L128" s="321" t="s">
        <v>167</v>
      </c>
      <c r="M128" s="322">
        <f>AA128</f>
        <v>0.61622500000000013</v>
      </c>
      <c r="N128" s="321"/>
      <c r="O128" s="321"/>
      <c r="P128" s="321"/>
      <c r="Q128" s="321"/>
      <c r="R128" s="477" t="s">
        <v>539</v>
      </c>
      <c r="S128" s="480">
        <f>I128*K128*M128</f>
        <v>98.472755000000035</v>
      </c>
      <c r="T128" s="324"/>
      <c r="U128" s="332"/>
      <c r="W128" s="339">
        <v>10</v>
      </c>
      <c r="X128" s="340">
        <f t="shared" ref="X128:X130" si="7">W128*0.001</f>
        <v>0.01</v>
      </c>
      <c r="Y128" s="341">
        <v>7850</v>
      </c>
      <c r="Z128" s="342">
        <f t="shared" ref="Z128" si="8">0.25*3.14*(X128*X128)</f>
        <v>7.8500000000000011E-5</v>
      </c>
      <c r="AA128" s="344">
        <f t="shared" ref="AA128" si="9">Y128*Z128*AB128</f>
        <v>0.61622500000000013</v>
      </c>
      <c r="AB128" s="341">
        <v>1</v>
      </c>
      <c r="AC128" s="343">
        <f t="shared" ref="AC128" si="10">AA128*12</f>
        <v>7.394700000000002</v>
      </c>
      <c r="AD128" s="296" t="s">
        <v>541</v>
      </c>
    </row>
    <row r="129" spans="2:30">
      <c r="B129" s="329"/>
      <c r="C129" s="330"/>
      <c r="D129" s="317"/>
      <c r="E129" s="318"/>
      <c r="F129" s="318"/>
      <c r="G129" s="430" t="s">
        <v>597</v>
      </c>
      <c r="H129" s="319"/>
      <c r="I129" s="476">
        <f>I124+K124+I124+K124</f>
        <v>0.48</v>
      </c>
      <c r="J129" s="477" t="s">
        <v>167</v>
      </c>
      <c r="K129" s="478">
        <f>I128/0.2</f>
        <v>199.75</v>
      </c>
      <c r="L129" s="477" t="s">
        <v>167</v>
      </c>
      <c r="M129" s="322">
        <f>AA129</f>
        <v>0.39438400000000001</v>
      </c>
      <c r="N129" s="477"/>
      <c r="O129" s="477"/>
      <c r="P129" s="477"/>
      <c r="Q129" s="477"/>
      <c r="R129" s="477" t="s">
        <v>539</v>
      </c>
      <c r="S129" s="480">
        <f>I129*K129*M129</f>
        <v>37.813537920000002</v>
      </c>
      <c r="T129" s="324"/>
      <c r="U129" s="332"/>
      <c r="W129" s="339">
        <v>8</v>
      </c>
      <c r="X129" s="340">
        <f t="shared" si="7"/>
        <v>8.0000000000000002E-3</v>
      </c>
      <c r="Y129" s="341">
        <v>7850</v>
      </c>
      <c r="Z129" s="342">
        <f t="shared" ref="Z129" si="11">0.25*3.14*(X129*X129)</f>
        <v>5.024E-5</v>
      </c>
      <c r="AA129" s="344">
        <f t="shared" ref="AA129" si="12">Y129*Z129*AB129</f>
        <v>0.39438400000000001</v>
      </c>
      <c r="AB129" s="341">
        <v>1</v>
      </c>
      <c r="AC129" s="343">
        <f t="shared" ref="AC129" si="13">AA129*12</f>
        <v>4.7326079999999999</v>
      </c>
      <c r="AD129" s="296" t="s">
        <v>541</v>
      </c>
    </row>
    <row r="130" spans="2:30">
      <c r="B130" s="329"/>
      <c r="C130" s="330"/>
      <c r="D130" s="317"/>
      <c r="E130" s="318"/>
      <c r="F130" s="318"/>
      <c r="G130" s="318"/>
      <c r="H130" s="319"/>
      <c r="I130" s="476"/>
      <c r="J130" s="477"/>
      <c r="K130" s="478"/>
      <c r="L130" s="477"/>
      <c r="M130" s="322"/>
      <c r="N130" s="477"/>
      <c r="O130" s="477"/>
      <c r="P130" s="477"/>
      <c r="Q130" s="477"/>
      <c r="R130" s="477"/>
      <c r="S130" s="480"/>
      <c r="T130" s="324"/>
      <c r="U130" s="332"/>
      <c r="W130" s="339">
        <v>8</v>
      </c>
      <c r="X130" s="340">
        <f t="shared" si="7"/>
        <v>8.0000000000000002E-3</v>
      </c>
      <c r="Y130" s="341">
        <v>7850</v>
      </c>
      <c r="Z130" s="342">
        <f t="shared" ref="Z130" si="14">0.25*3.14*(X130*X130)</f>
        <v>5.024E-5</v>
      </c>
      <c r="AA130" s="344">
        <f t="shared" ref="AA130" si="15">Y130*Z130*AB130</f>
        <v>0.39438400000000001</v>
      </c>
      <c r="AB130" s="341">
        <v>1</v>
      </c>
      <c r="AC130" s="343">
        <f t="shared" ref="AC130" si="16">AA130*12</f>
        <v>4.7326079999999999</v>
      </c>
      <c r="AD130" s="296" t="s">
        <v>541</v>
      </c>
    </row>
    <row r="131" spans="2:30">
      <c r="B131" s="329"/>
      <c r="C131" s="330"/>
      <c r="D131" s="317"/>
      <c r="E131" s="318"/>
      <c r="F131" s="318"/>
      <c r="G131" s="318"/>
      <c r="H131" s="319"/>
      <c r="I131" s="337"/>
      <c r="J131" s="321"/>
      <c r="K131" s="322"/>
      <c r="L131" s="321"/>
      <c r="M131" s="322"/>
      <c r="N131" s="321"/>
      <c r="O131" s="321"/>
      <c r="P131" s="321"/>
      <c r="Q131" s="321"/>
      <c r="R131" s="321"/>
      <c r="S131" s="323">
        <f>SUM(S128:S130)</f>
        <v>136.28629292000005</v>
      </c>
      <c r="T131" s="324">
        <f>S131</f>
        <v>136.28629292000005</v>
      </c>
      <c r="U131" s="332" t="s">
        <v>73</v>
      </c>
    </row>
    <row r="132" spans="2:30">
      <c r="B132" s="329">
        <f>RAB!B69</f>
        <v>13</v>
      </c>
      <c r="C132" s="330" t="str">
        <f>RAB!D69</f>
        <v>Memasang bekisting</v>
      </c>
      <c r="D132" s="317"/>
      <c r="E132" s="318"/>
      <c r="F132" s="318"/>
      <c r="G132" s="318"/>
      <c r="H132" s="319"/>
      <c r="I132" s="337">
        <f>I124+I124</f>
        <v>0.24</v>
      </c>
      <c r="J132" s="321"/>
      <c r="K132" s="322"/>
      <c r="L132" s="321" t="s">
        <v>167</v>
      </c>
      <c r="M132" s="322">
        <f>I128</f>
        <v>39.950000000000003</v>
      </c>
      <c r="N132" s="321"/>
      <c r="O132" s="321"/>
      <c r="P132" s="321"/>
      <c r="Q132" s="321"/>
      <c r="R132" s="321" t="s">
        <v>539</v>
      </c>
      <c r="S132" s="323">
        <f>I132*M132</f>
        <v>9.588000000000001</v>
      </c>
      <c r="T132" s="324">
        <f>S132</f>
        <v>9.588000000000001</v>
      </c>
      <c r="U132" s="332" t="s">
        <v>100</v>
      </c>
    </row>
    <row r="133" spans="2:30">
      <c r="B133" s="329"/>
      <c r="C133" s="327" t="str">
        <f>RAB!D70</f>
        <v>Topi-topi</v>
      </c>
      <c r="D133" s="317"/>
      <c r="E133" s="318"/>
      <c r="F133" s="318"/>
      <c r="G133" s="318"/>
      <c r="H133" s="319"/>
      <c r="I133" s="337"/>
      <c r="J133" s="321"/>
      <c r="K133" s="322"/>
      <c r="L133" s="321"/>
      <c r="M133" s="322"/>
      <c r="N133" s="321"/>
      <c r="O133" s="321"/>
      <c r="P133" s="321"/>
      <c r="Q133" s="321"/>
      <c r="R133" s="321"/>
      <c r="S133" s="323"/>
      <c r="T133" s="324"/>
      <c r="U133" s="332"/>
    </row>
    <row r="134" spans="2:30">
      <c r="B134" s="329">
        <f>RAB!B71</f>
        <v>14</v>
      </c>
      <c r="C134" s="330" t="str">
        <f>RAB!D71</f>
        <v>Pembuatan 1 m3 Beton Mutu f'=14,5 Mpa (K175)</v>
      </c>
      <c r="D134" s="317"/>
      <c r="E134" s="318"/>
      <c r="F134" s="318"/>
      <c r="G134" s="318"/>
      <c r="H134" s="319" t="s">
        <v>724</v>
      </c>
      <c r="I134" s="337">
        <v>1.8</v>
      </c>
      <c r="J134" s="321" t="s">
        <v>167</v>
      </c>
      <c r="K134" s="322">
        <v>0.75</v>
      </c>
      <c r="L134" s="321" t="s">
        <v>167</v>
      </c>
      <c r="M134" s="322">
        <v>0.1</v>
      </c>
      <c r="N134" s="321" t="s">
        <v>167</v>
      </c>
      <c r="O134" s="321">
        <v>2</v>
      </c>
      <c r="P134" s="321"/>
      <c r="Q134" s="321"/>
      <c r="R134" s="321" t="s">
        <v>539</v>
      </c>
      <c r="S134" s="323">
        <f>I134*K134*M134*O134</f>
        <v>0.27</v>
      </c>
      <c r="T134" s="324">
        <f>SUM(S134:S136)</f>
        <v>0.49860000000000004</v>
      </c>
      <c r="U134" s="332" t="s">
        <v>68</v>
      </c>
      <c r="W134">
        <f>T138/T134</f>
        <v>68.657302847974321</v>
      </c>
    </row>
    <row r="135" spans="2:30">
      <c r="B135" s="329"/>
      <c r="C135" s="330"/>
      <c r="D135" s="317"/>
      <c r="E135" s="318"/>
      <c r="F135" s="318"/>
      <c r="G135" s="318"/>
      <c r="H135" s="319" t="s">
        <v>725</v>
      </c>
      <c r="I135" s="337">
        <v>4.7</v>
      </c>
      <c r="J135" s="321" t="s">
        <v>167</v>
      </c>
      <c r="K135" s="322">
        <v>0.3</v>
      </c>
      <c r="L135" s="321" t="s">
        <v>167</v>
      </c>
      <c r="M135" s="322">
        <v>0.06</v>
      </c>
      <c r="N135" s="321"/>
      <c r="O135" s="321"/>
      <c r="P135" s="321"/>
      <c r="Q135" s="321"/>
      <c r="R135" s="321" t="s">
        <v>539</v>
      </c>
      <c r="S135" s="323">
        <f>I135*K135*M135</f>
        <v>8.4599999999999995E-2</v>
      </c>
      <c r="T135" s="324"/>
      <c r="U135" s="332"/>
    </row>
    <row r="136" spans="2:30">
      <c r="B136" s="329"/>
      <c r="C136" s="330"/>
      <c r="D136" s="317"/>
      <c r="E136" s="318"/>
      <c r="F136" s="318"/>
      <c r="G136" s="318"/>
      <c r="H136" s="319" t="s">
        <v>726</v>
      </c>
      <c r="I136" s="337">
        <v>3.2</v>
      </c>
      <c r="J136" s="321" t="s">
        <v>167</v>
      </c>
      <c r="K136" s="322">
        <v>0.75</v>
      </c>
      <c r="L136" s="321" t="s">
        <v>167</v>
      </c>
      <c r="M136" s="322">
        <v>0.06</v>
      </c>
      <c r="N136" s="321"/>
      <c r="O136" s="321"/>
      <c r="P136" s="321"/>
      <c r="Q136" s="321"/>
      <c r="R136" s="321" t="s">
        <v>539</v>
      </c>
      <c r="S136" s="323">
        <f>I136*K136*M136</f>
        <v>0.14400000000000002</v>
      </c>
      <c r="T136" s="324"/>
      <c r="U136" s="332"/>
    </row>
    <row r="137" spans="2:30">
      <c r="B137" s="329"/>
      <c r="C137" s="330"/>
      <c r="D137" s="317"/>
      <c r="E137" s="318"/>
      <c r="F137" s="318"/>
      <c r="G137" s="318"/>
      <c r="H137" s="319"/>
      <c r="I137" s="337"/>
      <c r="J137" s="321"/>
      <c r="K137" s="322"/>
      <c r="L137" s="321"/>
      <c r="M137" s="322"/>
      <c r="N137" s="321"/>
      <c r="O137" s="321"/>
      <c r="P137" s="321"/>
      <c r="Q137" s="321"/>
      <c r="R137" s="321"/>
      <c r="S137" s="323"/>
      <c r="T137" s="324"/>
      <c r="U137" s="332"/>
    </row>
    <row r="138" spans="2:30">
      <c r="B138" s="329">
        <f>RAB!B72</f>
        <v>15</v>
      </c>
      <c r="C138" s="330" t="str">
        <f>RAB!D72</f>
        <v>Pembesian 1 kg dengan besi polos atau besi ulir</v>
      </c>
      <c r="D138" s="317"/>
      <c r="E138" s="318"/>
      <c r="F138" s="318"/>
      <c r="G138" s="318"/>
      <c r="H138" s="319"/>
      <c r="I138" s="337"/>
      <c r="J138" s="321"/>
      <c r="K138" s="322"/>
      <c r="L138" s="321"/>
      <c r="M138" s="322" t="s">
        <v>595</v>
      </c>
      <c r="N138" s="321"/>
      <c r="O138" s="321"/>
      <c r="P138" s="321"/>
      <c r="Q138" s="321"/>
      <c r="R138" s="321"/>
      <c r="S138" s="323"/>
      <c r="T138" s="324">
        <f>SUM(S139:S144)</f>
        <v>34.232531199999997</v>
      </c>
      <c r="U138" s="332" t="s">
        <v>73</v>
      </c>
    </row>
    <row r="139" spans="2:30">
      <c r="B139" s="329"/>
      <c r="C139" s="330"/>
      <c r="D139" s="317"/>
      <c r="E139" s="318"/>
      <c r="F139" s="318"/>
      <c r="G139" s="318"/>
      <c r="H139" s="430" t="str">
        <f>H134</f>
        <v>topi-topi lengkung</v>
      </c>
      <c r="I139" s="337">
        <f>I134</f>
        <v>1.8</v>
      </c>
      <c r="J139" s="321" t="s">
        <v>167</v>
      </c>
      <c r="K139" s="322">
        <f>I140/0.15</f>
        <v>5</v>
      </c>
      <c r="L139" s="321" t="s">
        <v>167</v>
      </c>
      <c r="M139" s="322">
        <f t="shared" ref="M139:M144" si="17">AA139</f>
        <v>0.39438400000000001</v>
      </c>
      <c r="N139" s="321" t="s">
        <v>167</v>
      </c>
      <c r="O139" s="321">
        <v>2</v>
      </c>
      <c r="P139" s="321"/>
      <c r="Q139" s="321"/>
      <c r="R139" s="477" t="s">
        <v>539</v>
      </c>
      <c r="S139" s="480">
        <f t="shared" ref="S139:S144" si="18">I139*K139*M139*O139</f>
        <v>7.0989120000000003</v>
      </c>
      <c r="T139" s="324"/>
      <c r="U139" s="332"/>
      <c r="W139" s="339">
        <v>8</v>
      </c>
      <c r="X139" s="340">
        <f t="shared" ref="X139" si="19">W139*0.001</f>
        <v>8.0000000000000002E-3</v>
      </c>
      <c r="Y139" s="341">
        <v>7850</v>
      </c>
      <c r="Z139" s="342">
        <f t="shared" ref="Z139" si="20">0.25*3.14*(X139*X139)</f>
        <v>5.024E-5</v>
      </c>
      <c r="AA139" s="344">
        <f t="shared" ref="AA139" si="21">Y139*Z139*AB139</f>
        <v>0.39438400000000001</v>
      </c>
      <c r="AB139" s="341">
        <v>1</v>
      </c>
      <c r="AC139" s="343">
        <f t="shared" ref="AC139" si="22">AA139*12</f>
        <v>4.7326079999999999</v>
      </c>
      <c r="AD139" s="296" t="s">
        <v>541</v>
      </c>
    </row>
    <row r="140" spans="2:30">
      <c r="B140" s="329"/>
      <c r="C140" s="330"/>
      <c r="D140" s="317"/>
      <c r="E140" s="318"/>
      <c r="F140" s="318"/>
      <c r="G140" s="430"/>
      <c r="H140" s="319"/>
      <c r="I140" s="476">
        <f>K134</f>
        <v>0.75</v>
      </c>
      <c r="J140" s="477" t="s">
        <v>167</v>
      </c>
      <c r="K140" s="478">
        <f>I139/0.15</f>
        <v>12</v>
      </c>
      <c r="L140" s="477" t="s">
        <v>167</v>
      </c>
      <c r="M140" s="322">
        <f t="shared" si="17"/>
        <v>0.39438400000000001</v>
      </c>
      <c r="N140" s="477" t="s">
        <v>167</v>
      </c>
      <c r="O140" s="477">
        <v>2</v>
      </c>
      <c r="P140" s="477"/>
      <c r="Q140" s="477"/>
      <c r="R140" s="477" t="s">
        <v>539</v>
      </c>
      <c r="S140" s="480">
        <f t="shared" si="18"/>
        <v>7.0989120000000003</v>
      </c>
      <c r="T140" s="324"/>
      <c r="U140" s="332"/>
      <c r="W140" s="339">
        <v>8</v>
      </c>
      <c r="X140" s="340">
        <f t="shared" ref="X140:X141" si="23">W140*0.001</f>
        <v>8.0000000000000002E-3</v>
      </c>
      <c r="Y140" s="341">
        <v>7850</v>
      </c>
      <c r="Z140" s="342">
        <f t="shared" ref="Z140:Z141" si="24">0.25*3.14*(X140*X140)</f>
        <v>5.024E-5</v>
      </c>
      <c r="AA140" s="344">
        <f t="shared" ref="AA140:AA141" si="25">Y140*Z140*AB140</f>
        <v>0.39438400000000001</v>
      </c>
      <c r="AB140" s="341">
        <v>1</v>
      </c>
      <c r="AC140" s="343">
        <f t="shared" ref="AC140:AC141" si="26">AA140*12</f>
        <v>4.7326079999999999</v>
      </c>
      <c r="AD140" s="296" t="s">
        <v>541</v>
      </c>
    </row>
    <row r="141" spans="2:30">
      <c r="B141" s="329"/>
      <c r="C141" s="330"/>
      <c r="D141" s="317"/>
      <c r="E141" s="318"/>
      <c r="F141" s="318"/>
      <c r="G141" s="430"/>
      <c r="H141" s="319" t="str">
        <f>H135</f>
        <v>topi-topi atas jendela</v>
      </c>
      <c r="I141" s="337">
        <f>I135</f>
        <v>4.7</v>
      </c>
      <c r="J141" s="321" t="s">
        <v>167</v>
      </c>
      <c r="K141" s="322">
        <f>I142/0.15</f>
        <v>2</v>
      </c>
      <c r="L141" s="321" t="s">
        <v>167</v>
      </c>
      <c r="M141" s="322">
        <f t="shared" si="17"/>
        <v>0.39438400000000001</v>
      </c>
      <c r="N141" s="321" t="s">
        <v>167</v>
      </c>
      <c r="O141" s="321">
        <v>1</v>
      </c>
      <c r="P141" s="321"/>
      <c r="Q141" s="321"/>
      <c r="R141" s="477" t="s">
        <v>539</v>
      </c>
      <c r="S141" s="480">
        <f t="shared" si="18"/>
        <v>3.7072096000000001</v>
      </c>
      <c r="T141" s="324"/>
      <c r="U141" s="332"/>
      <c r="W141" s="339">
        <v>8</v>
      </c>
      <c r="X141" s="340">
        <f t="shared" si="23"/>
        <v>8.0000000000000002E-3</v>
      </c>
      <c r="Y141" s="341">
        <v>7850</v>
      </c>
      <c r="Z141" s="342">
        <f t="shared" si="24"/>
        <v>5.024E-5</v>
      </c>
      <c r="AA141" s="344">
        <f t="shared" si="25"/>
        <v>0.39438400000000001</v>
      </c>
      <c r="AB141" s="341">
        <v>1</v>
      </c>
      <c r="AC141" s="343">
        <f t="shared" si="26"/>
        <v>4.7326079999999999</v>
      </c>
      <c r="AD141" s="296" t="s">
        <v>541</v>
      </c>
    </row>
    <row r="142" spans="2:30">
      <c r="B142" s="329"/>
      <c r="C142" s="330"/>
      <c r="D142" s="317"/>
      <c r="E142" s="318"/>
      <c r="F142" s="318"/>
      <c r="G142" s="430"/>
      <c r="H142" s="319"/>
      <c r="I142" s="476">
        <f>K135</f>
        <v>0.3</v>
      </c>
      <c r="J142" s="477" t="s">
        <v>167</v>
      </c>
      <c r="K142" s="578">
        <f>I141/0.15</f>
        <v>31.333333333333336</v>
      </c>
      <c r="L142" s="477" t="s">
        <v>167</v>
      </c>
      <c r="M142" s="322">
        <f t="shared" si="17"/>
        <v>0.39438400000000001</v>
      </c>
      <c r="N142" s="477" t="s">
        <v>167</v>
      </c>
      <c r="O142" s="477">
        <v>1</v>
      </c>
      <c r="P142" s="477"/>
      <c r="Q142" s="477"/>
      <c r="R142" s="477" t="s">
        <v>539</v>
      </c>
      <c r="S142" s="480">
        <f t="shared" si="18"/>
        <v>3.7072096000000001</v>
      </c>
      <c r="T142" s="324"/>
      <c r="U142" s="332"/>
      <c r="W142" s="339">
        <v>8</v>
      </c>
      <c r="X142" s="340">
        <f t="shared" ref="X142:X143" si="27">W142*0.001</f>
        <v>8.0000000000000002E-3</v>
      </c>
      <c r="Y142" s="341">
        <v>7850</v>
      </c>
      <c r="Z142" s="342">
        <f t="shared" ref="Z142:Z143" si="28">0.25*3.14*(X142*X142)</f>
        <v>5.024E-5</v>
      </c>
      <c r="AA142" s="344">
        <f t="shared" ref="AA142:AA143" si="29">Y142*Z142*AB142</f>
        <v>0.39438400000000001</v>
      </c>
      <c r="AB142" s="341">
        <v>1</v>
      </c>
      <c r="AC142" s="343">
        <f t="shared" ref="AC142:AC143" si="30">AA142*12</f>
        <v>4.7326079999999999</v>
      </c>
      <c r="AD142" s="296" t="s">
        <v>541</v>
      </c>
    </row>
    <row r="143" spans="2:30">
      <c r="B143" s="329"/>
      <c r="C143" s="330"/>
      <c r="D143" s="317"/>
      <c r="E143" s="318"/>
      <c r="F143" s="318"/>
      <c r="G143" s="430"/>
      <c r="H143" s="319" t="str">
        <f>H136</f>
        <v>topi-topi atas t. wudhu</v>
      </c>
      <c r="I143" s="337">
        <f>I136</f>
        <v>3.2</v>
      </c>
      <c r="J143" s="321" t="s">
        <v>167</v>
      </c>
      <c r="K143" s="322">
        <f>I144/0.15</f>
        <v>5</v>
      </c>
      <c r="L143" s="321" t="s">
        <v>167</v>
      </c>
      <c r="M143" s="322">
        <f t="shared" si="17"/>
        <v>0.39438400000000001</v>
      </c>
      <c r="N143" s="321" t="s">
        <v>167</v>
      </c>
      <c r="O143" s="321">
        <v>1</v>
      </c>
      <c r="P143" s="321"/>
      <c r="Q143" s="321"/>
      <c r="R143" s="477" t="s">
        <v>539</v>
      </c>
      <c r="S143" s="480">
        <f t="shared" si="18"/>
        <v>6.3101440000000002</v>
      </c>
      <c r="T143" s="324"/>
      <c r="U143" s="332"/>
      <c r="W143" s="339">
        <v>8</v>
      </c>
      <c r="X143" s="340">
        <f t="shared" si="27"/>
        <v>8.0000000000000002E-3</v>
      </c>
      <c r="Y143" s="341">
        <v>7850</v>
      </c>
      <c r="Z143" s="342">
        <f t="shared" si="28"/>
        <v>5.024E-5</v>
      </c>
      <c r="AA143" s="344">
        <f t="shared" si="29"/>
        <v>0.39438400000000001</v>
      </c>
      <c r="AB143" s="341">
        <v>1</v>
      </c>
      <c r="AC143" s="343">
        <f t="shared" si="30"/>
        <v>4.7326079999999999</v>
      </c>
      <c r="AD143" s="296" t="s">
        <v>541</v>
      </c>
    </row>
    <row r="144" spans="2:30">
      <c r="B144" s="329"/>
      <c r="C144" s="330"/>
      <c r="D144" s="317"/>
      <c r="E144" s="318"/>
      <c r="F144" s="318"/>
      <c r="G144" s="430"/>
      <c r="H144" s="319"/>
      <c r="I144" s="476">
        <f>K136</f>
        <v>0.75</v>
      </c>
      <c r="J144" s="477" t="s">
        <v>167</v>
      </c>
      <c r="K144" s="578">
        <f>I143/0.15</f>
        <v>21.333333333333336</v>
      </c>
      <c r="L144" s="477" t="s">
        <v>167</v>
      </c>
      <c r="M144" s="322">
        <f t="shared" si="17"/>
        <v>0.39438400000000001</v>
      </c>
      <c r="N144" s="477" t="s">
        <v>167</v>
      </c>
      <c r="O144" s="477">
        <v>1</v>
      </c>
      <c r="P144" s="477"/>
      <c r="Q144" s="477"/>
      <c r="R144" s="477" t="s">
        <v>539</v>
      </c>
      <c r="S144" s="480">
        <f t="shared" si="18"/>
        <v>6.3101440000000002</v>
      </c>
      <c r="T144" s="324"/>
      <c r="U144" s="332"/>
      <c r="W144" s="339">
        <v>8</v>
      </c>
      <c r="X144" s="340">
        <f t="shared" ref="X144" si="31">W144*0.001</f>
        <v>8.0000000000000002E-3</v>
      </c>
      <c r="Y144" s="341">
        <v>7850</v>
      </c>
      <c r="Z144" s="342">
        <f t="shared" ref="Z144" si="32">0.25*3.14*(X144*X144)</f>
        <v>5.024E-5</v>
      </c>
      <c r="AA144" s="344">
        <f t="shared" ref="AA144" si="33">Y144*Z144*AB144</f>
        <v>0.39438400000000001</v>
      </c>
      <c r="AB144" s="341">
        <v>1</v>
      </c>
      <c r="AC144" s="343">
        <f t="shared" ref="AC144" si="34">AA144*12</f>
        <v>4.7326079999999999</v>
      </c>
      <c r="AD144" s="296" t="s">
        <v>541</v>
      </c>
    </row>
    <row r="145" spans="2:21">
      <c r="B145" s="329">
        <f>RAB!B73</f>
        <v>16</v>
      </c>
      <c r="C145" s="330" t="str">
        <f>RAB!D73</f>
        <v>Memasang bekisting</v>
      </c>
      <c r="D145" s="317"/>
      <c r="E145" s="318"/>
      <c r="F145" s="318"/>
      <c r="G145" s="318"/>
      <c r="H145" s="319" t="s">
        <v>724</v>
      </c>
      <c r="I145" s="337">
        <v>1.8</v>
      </c>
      <c r="J145" s="321" t="s">
        <v>167</v>
      </c>
      <c r="K145" s="322">
        <v>0.75</v>
      </c>
      <c r="L145" s="321"/>
      <c r="M145" s="322"/>
      <c r="N145" s="321"/>
      <c r="O145" s="321"/>
      <c r="P145" s="321"/>
      <c r="Q145" s="321"/>
      <c r="R145" s="321" t="s">
        <v>539</v>
      </c>
      <c r="S145" s="323">
        <f>I145*K145</f>
        <v>1.35</v>
      </c>
      <c r="T145" s="324">
        <f>SUM(S145:S147)</f>
        <v>5.16</v>
      </c>
      <c r="U145" s="332" t="s">
        <v>100</v>
      </c>
    </row>
    <row r="146" spans="2:21">
      <c r="B146" s="329"/>
      <c r="C146" s="330"/>
      <c r="D146" s="317"/>
      <c r="E146" s="318"/>
      <c r="F146" s="318"/>
      <c r="G146" s="318"/>
      <c r="H146" s="319" t="s">
        <v>725</v>
      </c>
      <c r="I146" s="337">
        <v>4.7</v>
      </c>
      <c r="J146" s="321" t="s">
        <v>167</v>
      </c>
      <c r="K146" s="322">
        <v>0.3</v>
      </c>
      <c r="L146" s="321"/>
      <c r="M146" s="322"/>
      <c r="N146" s="321"/>
      <c r="O146" s="321"/>
      <c r="P146" s="321"/>
      <c r="Q146" s="321"/>
      <c r="R146" s="321" t="s">
        <v>539</v>
      </c>
      <c r="S146" s="323">
        <f>I146*K146</f>
        <v>1.41</v>
      </c>
      <c r="T146" s="324"/>
      <c r="U146" s="332"/>
    </row>
    <row r="147" spans="2:21">
      <c r="B147" s="329"/>
      <c r="C147" s="330"/>
      <c r="D147" s="317"/>
      <c r="E147" s="318"/>
      <c r="F147" s="318"/>
      <c r="G147" s="318"/>
      <c r="H147" s="319" t="s">
        <v>726</v>
      </c>
      <c r="I147" s="337">
        <v>3.2</v>
      </c>
      <c r="J147" s="321" t="s">
        <v>167</v>
      </c>
      <c r="K147" s="322">
        <v>0.75</v>
      </c>
      <c r="L147" s="321"/>
      <c r="M147" s="322"/>
      <c r="N147" s="321"/>
      <c r="O147" s="321"/>
      <c r="P147" s="321"/>
      <c r="Q147" s="321"/>
      <c r="R147" s="321" t="s">
        <v>539</v>
      </c>
      <c r="S147" s="323">
        <f>I147*K147</f>
        <v>2.4000000000000004</v>
      </c>
      <c r="T147" s="324"/>
      <c r="U147" s="332"/>
    </row>
    <row r="148" spans="2:21">
      <c r="B148" s="329"/>
      <c r="C148" s="330"/>
      <c r="D148" s="317"/>
      <c r="E148" s="318"/>
      <c r="F148" s="318"/>
      <c r="G148" s="318"/>
      <c r="H148" s="319"/>
      <c r="I148" s="337"/>
      <c r="J148" s="321"/>
      <c r="K148" s="322"/>
      <c r="L148" s="321"/>
      <c r="M148" s="322"/>
      <c r="N148" s="321"/>
      <c r="O148" s="321"/>
      <c r="P148" s="321"/>
      <c r="Q148" s="321"/>
      <c r="R148" s="321"/>
      <c r="S148" s="323"/>
      <c r="T148" s="324"/>
      <c r="U148" s="332"/>
    </row>
    <row r="149" spans="2:21">
      <c r="B149" s="329"/>
      <c r="C149" s="330"/>
      <c r="D149" s="317"/>
      <c r="E149" s="318"/>
      <c r="F149" s="318"/>
      <c r="G149" s="318"/>
      <c r="H149" s="319"/>
      <c r="I149" s="337"/>
      <c r="J149" s="321"/>
      <c r="K149" s="322"/>
      <c r="L149" s="321"/>
      <c r="M149" s="322"/>
      <c r="N149" s="321"/>
      <c r="O149" s="321"/>
      <c r="P149" s="321"/>
      <c r="Q149" s="321"/>
      <c r="R149" s="321"/>
      <c r="S149" s="323"/>
      <c r="T149" s="324"/>
      <c r="U149" s="332"/>
    </row>
    <row r="150" spans="2:21">
      <c r="B150" s="329"/>
      <c r="C150" s="330"/>
      <c r="D150" s="317"/>
      <c r="E150" s="318"/>
      <c r="F150" s="318"/>
      <c r="G150" s="318"/>
      <c r="H150" s="430"/>
      <c r="I150" s="337"/>
      <c r="J150" s="321"/>
      <c r="K150" s="429"/>
      <c r="L150" s="321"/>
      <c r="M150" s="322"/>
      <c r="N150" s="321"/>
      <c r="O150" s="321"/>
      <c r="P150" s="321"/>
      <c r="Q150" s="321"/>
      <c r="R150" s="321"/>
      <c r="S150" s="323"/>
      <c r="T150" s="324"/>
      <c r="U150" s="332"/>
    </row>
    <row r="151" spans="2:21">
      <c r="B151" s="329"/>
      <c r="C151" s="330"/>
      <c r="D151" s="317"/>
      <c r="E151" s="318"/>
      <c r="F151" s="318"/>
      <c r="G151" s="318"/>
      <c r="H151" s="430"/>
      <c r="I151" s="337"/>
      <c r="J151" s="321"/>
      <c r="K151" s="429"/>
      <c r="L151" s="321"/>
      <c r="M151" s="322"/>
      <c r="N151" s="321"/>
      <c r="O151" s="321"/>
      <c r="P151" s="321"/>
      <c r="Q151" s="321"/>
      <c r="R151" s="321"/>
      <c r="S151" s="323"/>
      <c r="T151" s="324"/>
      <c r="U151" s="332"/>
    </row>
    <row r="152" spans="2:21">
      <c r="B152" s="329" t="str">
        <f>RAB!B76</f>
        <v>V</v>
      </c>
      <c r="C152" s="327" t="str">
        <f>RAB!D76</f>
        <v>PEKERJAAN ELEKTRIKAL</v>
      </c>
      <c r="D152" s="317"/>
      <c r="E152" s="318"/>
      <c r="F152" s="318"/>
      <c r="G152" s="318"/>
      <c r="H152" s="430"/>
      <c r="I152" s="337"/>
      <c r="J152" s="321"/>
      <c r="K152" s="429"/>
      <c r="L152" s="321"/>
      <c r="M152" s="322"/>
      <c r="N152" s="321"/>
      <c r="O152" s="321"/>
      <c r="P152" s="321"/>
      <c r="Q152" s="321"/>
      <c r="R152" s="321"/>
      <c r="S152" s="323"/>
      <c r="T152" s="324"/>
      <c r="U152" s="332"/>
    </row>
    <row r="153" spans="2:21">
      <c r="B153" s="329">
        <f>RAB!B77</f>
        <v>1</v>
      </c>
      <c r="C153" s="330" t="str">
        <f>RAB!D77</f>
        <v>Pemasangan 1 buah Box MCB</v>
      </c>
      <c r="D153" s="317"/>
      <c r="E153" s="318"/>
      <c r="F153" s="318"/>
      <c r="G153" s="318"/>
      <c r="H153" s="430"/>
      <c r="I153" s="337">
        <v>1</v>
      </c>
      <c r="J153" s="321"/>
      <c r="K153" s="429"/>
      <c r="L153" s="321"/>
      <c r="M153" s="322"/>
      <c r="N153" s="321"/>
      <c r="O153" s="321"/>
      <c r="P153" s="321"/>
      <c r="Q153" s="321"/>
      <c r="R153" s="321" t="s">
        <v>539</v>
      </c>
      <c r="S153" s="323">
        <f>I153</f>
        <v>1</v>
      </c>
      <c r="T153" s="324">
        <f>S153</f>
        <v>1</v>
      </c>
      <c r="U153" s="332" t="s">
        <v>45</v>
      </c>
    </row>
    <row r="154" spans="2:21">
      <c r="B154" s="329">
        <f>RAB!B78</f>
        <v>2</v>
      </c>
      <c r="C154" s="330" t="str">
        <f>RAB!D78</f>
        <v>Pemasangan 1 buah MCB</v>
      </c>
      <c r="D154" s="317"/>
      <c r="E154" s="318"/>
      <c r="F154" s="318"/>
      <c r="G154" s="318"/>
      <c r="H154" s="430"/>
      <c r="I154" s="337">
        <v>2</v>
      </c>
      <c r="J154" s="321"/>
      <c r="K154" s="429"/>
      <c r="L154" s="321"/>
      <c r="M154" s="322"/>
      <c r="N154" s="321"/>
      <c r="O154" s="321"/>
      <c r="P154" s="321"/>
      <c r="Q154" s="321"/>
      <c r="R154" s="321" t="s">
        <v>539</v>
      </c>
      <c r="S154" s="323">
        <f t="shared" ref="S154:S164" si="35">I154</f>
        <v>2</v>
      </c>
      <c r="T154" s="324">
        <f t="shared" ref="T154:T164" si="36">S154</f>
        <v>2</v>
      </c>
      <c r="U154" s="332" t="s">
        <v>45</v>
      </c>
    </row>
    <row r="155" spans="2:21">
      <c r="B155" s="329">
        <f>RAB!B79</f>
        <v>3</v>
      </c>
      <c r="C155" s="330" t="str">
        <f>RAB!D79</f>
        <v>Pasang kabel pembagi kabel 3x2,5 mm</v>
      </c>
      <c r="D155" s="317"/>
      <c r="E155" s="318"/>
      <c r="F155" s="318"/>
      <c r="G155" s="318"/>
      <c r="H155" s="430"/>
      <c r="I155" s="337">
        <v>25</v>
      </c>
      <c r="J155" s="321"/>
      <c r="K155" s="429"/>
      <c r="L155" s="321"/>
      <c r="M155" s="322"/>
      <c r="N155" s="321"/>
      <c r="O155" s="321"/>
      <c r="P155" s="321"/>
      <c r="Q155" s="321"/>
      <c r="R155" s="321" t="s">
        <v>539</v>
      </c>
      <c r="S155" s="323">
        <f t="shared" si="35"/>
        <v>25</v>
      </c>
      <c r="T155" s="324">
        <f t="shared" si="36"/>
        <v>25</v>
      </c>
      <c r="U155" s="332" t="s">
        <v>32</v>
      </c>
    </row>
    <row r="156" spans="2:21">
      <c r="B156" s="329">
        <f>RAB!B80</f>
        <v>4</v>
      </c>
      <c r="C156" s="330" t="str">
        <f>RAB!D80</f>
        <v>Pasang kabel pembagi kabel 2x2,5 mm</v>
      </c>
      <c r="D156" s="317"/>
      <c r="E156" s="318"/>
      <c r="F156" s="318"/>
      <c r="G156" s="318"/>
      <c r="H156" s="430"/>
      <c r="I156" s="337">
        <v>25</v>
      </c>
      <c r="J156" s="321"/>
      <c r="K156" s="429"/>
      <c r="L156" s="321"/>
      <c r="M156" s="322"/>
      <c r="N156" s="321"/>
      <c r="O156" s="321"/>
      <c r="P156" s="321"/>
      <c r="Q156" s="321"/>
      <c r="R156" s="321" t="s">
        <v>539</v>
      </c>
      <c r="S156" s="323">
        <f t="shared" si="35"/>
        <v>25</v>
      </c>
      <c r="T156" s="324">
        <f t="shared" si="36"/>
        <v>25</v>
      </c>
      <c r="U156" s="332" t="s">
        <v>32</v>
      </c>
    </row>
    <row r="157" spans="2:21">
      <c r="B157" s="329">
        <f>RAB!B81</f>
        <v>5</v>
      </c>
      <c r="C157" s="330" t="str">
        <f>RAB!D81</f>
        <v>Memasang instalasi titik lampu (kabel 2x1,5 mm) + fitting</v>
      </c>
      <c r="D157" s="317"/>
      <c r="E157" s="318"/>
      <c r="F157" s="318"/>
      <c r="G157" s="318"/>
      <c r="H157" s="430"/>
      <c r="I157" s="337">
        <v>1</v>
      </c>
      <c r="J157" s="321"/>
      <c r="K157" s="429"/>
      <c r="L157" s="321"/>
      <c r="M157" s="322"/>
      <c r="N157" s="321"/>
      <c r="O157" s="321"/>
      <c r="P157" s="321"/>
      <c r="Q157" s="321"/>
      <c r="R157" s="321" t="s">
        <v>539</v>
      </c>
      <c r="S157" s="323">
        <f t="shared" si="35"/>
        <v>1</v>
      </c>
      <c r="T157" s="324">
        <f t="shared" si="36"/>
        <v>1</v>
      </c>
      <c r="U157" s="332" t="s">
        <v>45</v>
      </c>
    </row>
    <row r="158" spans="2:21">
      <c r="B158" s="329">
        <f>RAB!B82</f>
        <v>6</v>
      </c>
      <c r="C158" s="330" t="str">
        <f>RAB!D82</f>
        <v>Memasang instalasi titik lampu (kabel 2x1,5 mm) tanpa fitting</v>
      </c>
      <c r="D158" s="317"/>
      <c r="E158" s="318"/>
      <c r="F158" s="318"/>
      <c r="G158" s="318"/>
      <c r="H158" s="430"/>
      <c r="I158" s="337">
        <v>7</v>
      </c>
      <c r="J158" s="321"/>
      <c r="K158" s="429"/>
      <c r="L158" s="321"/>
      <c r="M158" s="322"/>
      <c r="N158" s="321"/>
      <c r="O158" s="321"/>
      <c r="P158" s="321"/>
      <c r="Q158" s="321"/>
      <c r="R158" s="321" t="s">
        <v>539</v>
      </c>
      <c r="S158" s="323">
        <f t="shared" si="35"/>
        <v>7</v>
      </c>
      <c r="T158" s="324">
        <f t="shared" si="36"/>
        <v>7</v>
      </c>
      <c r="U158" s="332" t="s">
        <v>45</v>
      </c>
    </row>
    <row r="159" spans="2:21">
      <c r="B159" s="329">
        <f>RAB!B83</f>
        <v>7</v>
      </c>
      <c r="C159" s="330" t="str">
        <f>RAB!D83</f>
        <v>Memasang Instalasi titik stop kontak (kabel 3x2,5 mm)</v>
      </c>
      <c r="D159" s="317"/>
      <c r="E159" s="318"/>
      <c r="F159" s="318"/>
      <c r="G159" s="318"/>
      <c r="H159" s="430"/>
      <c r="I159" s="337">
        <v>2</v>
      </c>
      <c r="J159" s="321"/>
      <c r="K159" s="429"/>
      <c r="L159" s="321"/>
      <c r="M159" s="322"/>
      <c r="N159" s="321"/>
      <c r="O159" s="321"/>
      <c r="P159" s="321"/>
      <c r="Q159" s="321"/>
      <c r="R159" s="321" t="s">
        <v>539</v>
      </c>
      <c r="S159" s="323">
        <f t="shared" si="35"/>
        <v>2</v>
      </c>
      <c r="T159" s="324">
        <f t="shared" si="36"/>
        <v>2</v>
      </c>
      <c r="U159" s="332" t="s">
        <v>45</v>
      </c>
    </row>
    <row r="160" spans="2:21">
      <c r="B160" s="329">
        <f>RAB!B84</f>
        <v>8</v>
      </c>
      <c r="C160" s="330" t="str">
        <f>RAB!D84</f>
        <v>Memasang saklar ganda</v>
      </c>
      <c r="D160" s="317"/>
      <c r="E160" s="318"/>
      <c r="F160" s="318"/>
      <c r="G160" s="318"/>
      <c r="H160" s="430"/>
      <c r="I160" s="337">
        <v>1</v>
      </c>
      <c r="J160" s="321"/>
      <c r="K160" s="429"/>
      <c r="L160" s="321"/>
      <c r="M160" s="322"/>
      <c r="N160" s="321"/>
      <c r="O160" s="321"/>
      <c r="P160" s="321"/>
      <c r="Q160" s="321"/>
      <c r="R160" s="321" t="s">
        <v>539</v>
      </c>
      <c r="S160" s="323">
        <f t="shared" si="35"/>
        <v>1</v>
      </c>
      <c r="T160" s="324">
        <f t="shared" si="36"/>
        <v>1</v>
      </c>
      <c r="U160" s="332" t="s">
        <v>45</v>
      </c>
    </row>
    <row r="161" spans="2:24">
      <c r="B161" s="329">
        <f>RAB!B85</f>
        <v>9</v>
      </c>
      <c r="C161" s="330" t="str">
        <f>RAB!D85</f>
        <v>Memasang saklar tunggal</v>
      </c>
      <c r="D161" s="317"/>
      <c r="E161" s="318"/>
      <c r="F161" s="318"/>
      <c r="G161" s="318"/>
      <c r="H161" s="430"/>
      <c r="I161" s="337">
        <v>4</v>
      </c>
      <c r="J161" s="321"/>
      <c r="K161" s="429"/>
      <c r="L161" s="321"/>
      <c r="M161" s="322"/>
      <c r="N161" s="321"/>
      <c r="O161" s="321"/>
      <c r="P161" s="321"/>
      <c r="Q161" s="321"/>
      <c r="R161" s="321" t="s">
        <v>539</v>
      </c>
      <c r="S161" s="323">
        <f t="shared" si="35"/>
        <v>4</v>
      </c>
      <c r="T161" s="324">
        <f t="shared" si="36"/>
        <v>4</v>
      </c>
      <c r="U161" s="332" t="s">
        <v>45</v>
      </c>
    </row>
    <row r="162" spans="2:24">
      <c r="B162" s="329">
        <f>RAB!B86</f>
        <v>10</v>
      </c>
      <c r="C162" s="330" t="str">
        <f>RAB!D86</f>
        <v>Memasang stop kontak</v>
      </c>
      <c r="D162" s="317"/>
      <c r="E162" s="318"/>
      <c r="F162" s="318"/>
      <c r="G162" s="318"/>
      <c r="H162" s="430"/>
      <c r="I162" s="337">
        <v>3</v>
      </c>
      <c r="J162" s="321"/>
      <c r="K162" s="429"/>
      <c r="L162" s="321"/>
      <c r="M162" s="322"/>
      <c r="N162" s="321"/>
      <c r="O162" s="321"/>
      <c r="P162" s="321"/>
      <c r="Q162" s="321"/>
      <c r="R162" s="321" t="s">
        <v>539</v>
      </c>
      <c r="S162" s="323">
        <f t="shared" si="35"/>
        <v>3</v>
      </c>
      <c r="T162" s="324">
        <f t="shared" si="36"/>
        <v>3</v>
      </c>
      <c r="U162" s="332" t="s">
        <v>45</v>
      </c>
    </row>
    <row r="163" spans="2:24">
      <c r="B163" s="329">
        <f>RAB!B87</f>
        <v>11</v>
      </c>
      <c r="C163" s="330" t="str">
        <f>RAB!D87</f>
        <v>Memasang Lampu downlight LED Slim ukuran 7 watt"</v>
      </c>
      <c r="D163" s="317"/>
      <c r="E163" s="318"/>
      <c r="F163" s="318"/>
      <c r="G163" s="318"/>
      <c r="H163" s="430"/>
      <c r="I163" s="337">
        <v>3</v>
      </c>
      <c r="J163" s="321"/>
      <c r="K163" s="429"/>
      <c r="L163" s="321"/>
      <c r="M163" s="322"/>
      <c r="N163" s="321"/>
      <c r="O163" s="321"/>
      <c r="P163" s="321"/>
      <c r="Q163" s="321"/>
      <c r="R163" s="321" t="s">
        <v>539</v>
      </c>
      <c r="S163" s="323">
        <f t="shared" si="35"/>
        <v>3</v>
      </c>
      <c r="T163" s="324">
        <f t="shared" si="36"/>
        <v>3</v>
      </c>
      <c r="U163" s="332" t="s">
        <v>45</v>
      </c>
    </row>
    <row r="164" spans="2:24">
      <c r="B164" s="329">
        <f>RAB!B88</f>
        <v>12</v>
      </c>
      <c r="C164" s="330" t="str">
        <f>RAB!D88</f>
        <v>Memasang Lampu downlight LED Slim ukuran 14 watt"</v>
      </c>
      <c r="D164" s="317"/>
      <c r="E164" s="318"/>
      <c r="F164" s="318"/>
      <c r="G164" s="318"/>
      <c r="H164" s="430"/>
      <c r="I164" s="337">
        <v>5</v>
      </c>
      <c r="J164" s="321"/>
      <c r="K164" s="429"/>
      <c r="L164" s="321"/>
      <c r="M164" s="322"/>
      <c r="N164" s="321"/>
      <c r="O164" s="321"/>
      <c r="P164" s="321"/>
      <c r="Q164" s="321"/>
      <c r="R164" s="321" t="s">
        <v>539</v>
      </c>
      <c r="S164" s="323">
        <f t="shared" si="35"/>
        <v>5</v>
      </c>
      <c r="T164" s="324">
        <f t="shared" si="36"/>
        <v>5</v>
      </c>
      <c r="U164" s="332" t="s">
        <v>45</v>
      </c>
    </row>
    <row r="165" spans="2:24">
      <c r="B165" s="329"/>
      <c r="C165" s="330"/>
      <c r="D165" s="317"/>
      <c r="E165" s="318"/>
      <c r="F165" s="318"/>
      <c r="G165" s="318"/>
      <c r="H165" s="430"/>
      <c r="I165" s="337"/>
      <c r="J165" s="321"/>
      <c r="K165" s="429"/>
      <c r="L165" s="321"/>
      <c r="M165" s="322"/>
      <c r="N165" s="321"/>
      <c r="O165" s="321"/>
      <c r="P165" s="321"/>
      <c r="Q165" s="321"/>
      <c r="R165" s="321"/>
      <c r="S165" s="323"/>
      <c r="T165" s="324"/>
      <c r="U165" s="332"/>
    </row>
    <row r="166" spans="2:24">
      <c r="B166" s="329"/>
      <c r="C166" s="330"/>
      <c r="D166" s="317"/>
      <c r="E166" s="318"/>
      <c r="F166" s="318"/>
      <c r="G166" s="318"/>
      <c r="H166" s="430"/>
      <c r="I166" s="337"/>
      <c r="J166" s="321"/>
      <c r="K166" s="429"/>
      <c r="L166" s="321"/>
      <c r="M166" s="322"/>
      <c r="N166" s="321"/>
      <c r="O166" s="321"/>
      <c r="P166" s="321"/>
      <c r="Q166" s="321"/>
      <c r="R166" s="321"/>
      <c r="S166" s="323"/>
      <c r="T166" s="324"/>
      <c r="U166" s="332"/>
    </row>
    <row r="167" spans="2:24">
      <c r="B167" s="326" t="str">
        <f>RAB!B91</f>
        <v>VI</v>
      </c>
      <c r="C167" s="327" t="str">
        <f>RAB!D91</f>
        <v>PEKERJAAN PINTU DAN JENDELA</v>
      </c>
      <c r="D167" s="317"/>
      <c r="E167" s="318"/>
      <c r="F167" s="318"/>
      <c r="G167" s="318"/>
      <c r="H167" s="430"/>
      <c r="I167" s="337"/>
      <c r="J167" s="321"/>
      <c r="K167" s="429"/>
      <c r="L167" s="321"/>
      <c r="M167" s="322"/>
      <c r="N167" s="321"/>
      <c r="O167" s="321"/>
      <c r="P167" s="321"/>
      <c r="Q167" s="321"/>
      <c r="R167" s="321"/>
      <c r="S167" s="323"/>
      <c r="T167" s="324"/>
      <c r="U167" s="332"/>
    </row>
    <row r="168" spans="2:24">
      <c r="B168" s="329">
        <f>RAB!B92</f>
        <v>1</v>
      </c>
      <c r="C168" s="330" t="str">
        <f>RAB!D92</f>
        <v>Memasang kusen pintu/jendela alluminium 4"</v>
      </c>
      <c r="D168" s="317"/>
      <c r="E168" s="318"/>
      <c r="F168" s="318"/>
      <c r="G168" s="318"/>
      <c r="H168" s="319" t="s">
        <v>713</v>
      </c>
      <c r="I168" s="337">
        <f>2.15+1.1+2.15</f>
        <v>5.4</v>
      </c>
      <c r="J168" s="321" t="s">
        <v>167</v>
      </c>
      <c r="K168" s="561">
        <v>1</v>
      </c>
      <c r="L168" s="321"/>
      <c r="M168" s="322"/>
      <c r="N168" s="321"/>
      <c r="O168" s="321"/>
      <c r="P168" s="321"/>
      <c r="Q168" s="321"/>
      <c r="R168" s="321" t="s">
        <v>539</v>
      </c>
      <c r="S168" s="323">
        <f>I168*K168</f>
        <v>5.4</v>
      </c>
      <c r="T168" s="324">
        <f>SUM(S168:S171)</f>
        <v>25.4</v>
      </c>
      <c r="U168" s="332" t="s">
        <v>32</v>
      </c>
    </row>
    <row r="169" spans="2:24">
      <c r="B169" s="329"/>
      <c r="C169" s="330"/>
      <c r="D169" s="317"/>
      <c r="E169" s="318"/>
      <c r="F169" s="318"/>
      <c r="G169" s="318"/>
      <c r="H169" s="319" t="s">
        <v>714</v>
      </c>
      <c r="I169" s="337">
        <f>2.15+1.5+2.15</f>
        <v>5.8</v>
      </c>
      <c r="J169" s="321" t="s">
        <v>167</v>
      </c>
      <c r="K169" s="561">
        <v>1</v>
      </c>
      <c r="L169" s="321"/>
      <c r="M169" s="322"/>
      <c r="N169" s="321"/>
      <c r="O169" s="321"/>
      <c r="P169" s="321"/>
      <c r="Q169" s="321"/>
      <c r="R169" s="321" t="s">
        <v>539</v>
      </c>
      <c r="S169" s="323">
        <f t="shared" ref="S169:S171" si="37">I169*K169</f>
        <v>5.8</v>
      </c>
      <c r="T169" s="324"/>
      <c r="U169" s="332"/>
    </row>
    <row r="170" spans="2:24">
      <c r="B170" s="329"/>
      <c r="C170" s="330"/>
      <c r="D170" s="317"/>
      <c r="E170" s="318"/>
      <c r="F170" s="318"/>
      <c r="G170" s="318"/>
      <c r="H170" s="319" t="s">
        <v>715</v>
      </c>
      <c r="I170" s="337">
        <f>2.15+0.7+2.15</f>
        <v>5</v>
      </c>
      <c r="J170" s="321" t="s">
        <v>167</v>
      </c>
      <c r="K170" s="561">
        <v>1</v>
      </c>
      <c r="L170" s="321"/>
      <c r="M170" s="322"/>
      <c r="N170" s="321"/>
      <c r="O170" s="321"/>
      <c r="P170" s="321"/>
      <c r="Q170" s="321"/>
      <c r="R170" s="321" t="s">
        <v>539</v>
      </c>
      <c r="S170" s="323">
        <f t="shared" si="37"/>
        <v>5</v>
      </c>
      <c r="T170" s="324"/>
      <c r="U170" s="332"/>
    </row>
    <row r="171" spans="2:24">
      <c r="B171" s="329"/>
      <c r="C171" s="330"/>
      <c r="D171" s="317"/>
      <c r="E171" s="318"/>
      <c r="F171" s="318"/>
      <c r="G171" s="318"/>
      <c r="H171" s="319" t="s">
        <v>716</v>
      </c>
      <c r="I171" s="337">
        <f>1.25+1.05+1.25+1.05</f>
        <v>4.5999999999999996</v>
      </c>
      <c r="J171" s="321" t="s">
        <v>167</v>
      </c>
      <c r="K171" s="561">
        <v>2</v>
      </c>
      <c r="L171" s="321"/>
      <c r="M171" s="322"/>
      <c r="N171" s="321"/>
      <c r="O171" s="321"/>
      <c r="P171" s="321"/>
      <c r="Q171" s="321"/>
      <c r="R171" s="321" t="s">
        <v>539</v>
      </c>
      <c r="S171" s="323">
        <f t="shared" si="37"/>
        <v>9.1999999999999993</v>
      </c>
      <c r="T171" s="324"/>
      <c r="U171" s="332"/>
    </row>
    <row r="172" spans="2:24">
      <c r="B172" s="329">
        <f>RAB!B93</f>
        <v>2</v>
      </c>
      <c r="C172" s="330" t="str">
        <f>RAB!D93</f>
        <v>Memasang pintu kaca rangka alluminium</v>
      </c>
      <c r="D172" s="317"/>
      <c r="E172" s="318"/>
      <c r="F172" s="318"/>
      <c r="G172" s="318"/>
      <c r="H172" s="319"/>
      <c r="I172" s="337">
        <v>2.15</v>
      </c>
      <c r="J172" s="321" t="s">
        <v>167</v>
      </c>
      <c r="K172" s="561">
        <v>0.7</v>
      </c>
      <c r="L172" s="321" t="s">
        <v>167</v>
      </c>
      <c r="M172" s="322">
        <v>1</v>
      </c>
      <c r="N172" s="321"/>
      <c r="O172" s="321"/>
      <c r="P172" s="321"/>
      <c r="Q172" s="321"/>
      <c r="R172" s="321" t="s">
        <v>539</v>
      </c>
      <c r="S172" s="323">
        <f>I172*K172*M172</f>
        <v>1.5049999999999999</v>
      </c>
      <c r="T172" s="324">
        <f>S172</f>
        <v>1.5049999999999999</v>
      </c>
      <c r="U172" s="332" t="s">
        <v>100</v>
      </c>
    </row>
    <row r="173" spans="2:24">
      <c r="B173" s="329">
        <f>RAB!B94</f>
        <v>3</v>
      </c>
      <c r="C173" s="330" t="str">
        <f>RAB!D94</f>
        <v>Memasang pintu ACP rangka alluminium cokelat</v>
      </c>
      <c r="D173" s="317"/>
      <c r="E173" s="318"/>
      <c r="F173" s="318"/>
      <c r="G173" s="318"/>
      <c r="H173" s="428"/>
      <c r="I173" s="337">
        <v>2.15</v>
      </c>
      <c r="J173" s="321" t="s">
        <v>167</v>
      </c>
      <c r="K173" s="561">
        <v>0.6</v>
      </c>
      <c r="L173" s="321" t="s">
        <v>167</v>
      </c>
      <c r="M173" s="322">
        <v>2</v>
      </c>
      <c r="N173" s="321"/>
      <c r="O173" s="321"/>
      <c r="P173" s="321"/>
      <c r="Q173" s="321"/>
      <c r="R173" s="321" t="s">
        <v>539</v>
      </c>
      <c r="S173" s="323">
        <f>I173*K173*M173</f>
        <v>2.5799999999999996</v>
      </c>
      <c r="T173" s="324">
        <f>S173</f>
        <v>2.5799999999999996</v>
      </c>
      <c r="U173" s="332" t="s">
        <v>100</v>
      </c>
    </row>
    <row r="174" spans="2:24">
      <c r="B174" s="329">
        <f>RAB!B95</f>
        <v>4</v>
      </c>
      <c r="C174" s="330" t="str">
        <f>RAB!D95</f>
        <v>Memasang jendela &amp; boven kaca rangka aluminium cokelat</v>
      </c>
      <c r="D174" s="317"/>
      <c r="E174" s="318"/>
      <c r="F174" s="318"/>
      <c r="G174" s="318"/>
      <c r="H174" s="430"/>
      <c r="I174" s="337">
        <v>0.48</v>
      </c>
      <c r="J174" s="321" t="s">
        <v>167</v>
      </c>
      <c r="K174" s="345">
        <v>1.25</v>
      </c>
      <c r="L174" s="321" t="s">
        <v>167</v>
      </c>
      <c r="M174" s="322">
        <v>4</v>
      </c>
      <c r="N174" s="321"/>
      <c r="O174" s="321"/>
      <c r="P174" s="321"/>
      <c r="Q174" s="321"/>
      <c r="R174" s="321" t="s">
        <v>539</v>
      </c>
      <c r="S174" s="323">
        <f>I174*K174*M174</f>
        <v>2.4</v>
      </c>
      <c r="T174" s="324">
        <f>S174</f>
        <v>2.4</v>
      </c>
      <c r="U174" s="332" t="s">
        <v>100</v>
      </c>
    </row>
    <row r="175" spans="2:24">
      <c r="B175" s="329">
        <f>RAB!B96</f>
        <v>5</v>
      </c>
      <c r="C175" s="330" t="str">
        <f>RAB!D96</f>
        <v>Memasang kunci tanam dan handel pintu</v>
      </c>
      <c r="D175" s="317"/>
      <c r="E175" s="318"/>
      <c r="F175" s="318"/>
      <c r="G175" s="318"/>
      <c r="H175" s="430"/>
      <c r="I175" s="337">
        <v>4</v>
      </c>
      <c r="J175" s="321"/>
      <c r="K175" s="429"/>
      <c r="L175" s="321"/>
      <c r="M175" s="322"/>
      <c r="N175" s="321"/>
      <c r="O175" s="321"/>
      <c r="P175" s="321"/>
      <c r="Q175" s="321"/>
      <c r="R175" s="321" t="s">
        <v>539</v>
      </c>
      <c r="S175" s="323">
        <f>I175</f>
        <v>4</v>
      </c>
      <c r="T175" s="324">
        <f>S175</f>
        <v>4</v>
      </c>
      <c r="U175" s="332" t="s">
        <v>45</v>
      </c>
    </row>
    <row r="176" spans="2:24">
      <c r="B176" s="329"/>
      <c r="C176" s="330"/>
      <c r="D176" s="317"/>
      <c r="E176" s="318"/>
      <c r="F176" s="318"/>
      <c r="G176" s="318"/>
      <c r="H176" s="319"/>
      <c r="I176" s="337"/>
      <c r="J176" s="321"/>
      <c r="K176" s="429"/>
      <c r="L176" s="321"/>
      <c r="M176" s="322"/>
      <c r="N176" s="321"/>
      <c r="O176" s="321"/>
      <c r="P176" s="321"/>
      <c r="Q176" s="321"/>
      <c r="R176" s="321"/>
      <c r="S176" s="323"/>
      <c r="T176" s="324"/>
      <c r="U176" s="332"/>
      <c r="W176">
        <v>0.15</v>
      </c>
      <c r="X176" t="s">
        <v>629</v>
      </c>
    </row>
    <row r="177" spans="2:24">
      <c r="B177" s="329"/>
      <c r="C177" s="330"/>
      <c r="D177" s="317"/>
      <c r="E177" s="318"/>
      <c r="F177" s="318"/>
      <c r="G177" s="318"/>
      <c r="H177" s="319"/>
      <c r="I177" s="337"/>
      <c r="J177" s="321"/>
      <c r="K177" s="429"/>
      <c r="L177" s="321"/>
      <c r="M177" s="322"/>
      <c r="N177" s="321"/>
      <c r="O177" s="321"/>
      <c r="P177" s="321"/>
      <c r="Q177" s="321"/>
      <c r="R177" s="321"/>
      <c r="S177" s="323"/>
      <c r="T177" s="324"/>
      <c r="U177" s="332"/>
      <c r="W177">
        <v>0.45</v>
      </c>
      <c r="X177" t="s">
        <v>630</v>
      </c>
    </row>
    <row r="178" spans="2:24">
      <c r="B178" s="326" t="str">
        <f>RAB!B99</f>
        <v>VII</v>
      </c>
      <c r="C178" s="327" t="str">
        <f>RAB!D99</f>
        <v>PEKERJAAN AIR BERSIH DAN AIR KOTOR</v>
      </c>
      <c r="D178" s="317"/>
      <c r="E178" s="318"/>
      <c r="F178" s="318"/>
      <c r="G178" s="318"/>
      <c r="H178" s="319"/>
      <c r="I178" s="337"/>
      <c r="J178" s="321"/>
      <c r="K178" s="429"/>
      <c r="L178" s="321"/>
      <c r="M178" s="322"/>
      <c r="N178" s="321"/>
      <c r="O178" s="321"/>
      <c r="P178" s="321"/>
      <c r="Q178" s="321"/>
      <c r="R178" s="321"/>
      <c r="S178" s="323"/>
      <c r="T178" s="324"/>
      <c r="U178" s="332"/>
      <c r="W178">
        <f>2.15</f>
        <v>2.15</v>
      </c>
      <c r="X178" t="s">
        <v>612</v>
      </c>
    </row>
    <row r="179" spans="2:24">
      <c r="B179" s="329">
        <f>RAB!B100</f>
        <v>1</v>
      </c>
      <c r="C179" s="330" t="str">
        <f>RAB!D100</f>
        <v>Memasang pipa PVC tipe AW diameter 3/4"</v>
      </c>
      <c r="D179" s="317"/>
      <c r="E179" s="318"/>
      <c r="F179" s="318"/>
      <c r="G179" s="318"/>
      <c r="H179" s="319"/>
      <c r="I179" s="337">
        <v>16</v>
      </c>
      <c r="J179" s="321"/>
      <c r="K179" s="429"/>
      <c r="L179" s="321"/>
      <c r="M179" s="322"/>
      <c r="N179" s="321"/>
      <c r="O179" s="321"/>
      <c r="P179" s="321"/>
      <c r="Q179" s="321"/>
      <c r="R179" s="321" t="s">
        <v>539</v>
      </c>
      <c r="S179" s="323">
        <f>I179</f>
        <v>16</v>
      </c>
      <c r="T179" s="324">
        <f>S179</f>
        <v>16</v>
      </c>
      <c r="U179" s="332" t="s">
        <v>32</v>
      </c>
    </row>
    <row r="180" spans="2:24">
      <c r="B180" s="329">
        <f>RAB!B101</f>
        <v>2</v>
      </c>
      <c r="C180" s="330" t="str">
        <f>RAB!D101</f>
        <v>Memasang pipa PVC tipe AW diameter 3"</v>
      </c>
      <c r="D180" s="317"/>
      <c r="E180" s="318"/>
      <c r="F180" s="318"/>
      <c r="G180" s="318"/>
      <c r="H180" s="319"/>
      <c r="I180" s="337">
        <v>12</v>
      </c>
      <c r="J180" s="321"/>
      <c r="K180" s="429"/>
      <c r="L180" s="321"/>
      <c r="M180" s="322"/>
      <c r="N180" s="321"/>
      <c r="O180" s="321"/>
      <c r="P180" s="321"/>
      <c r="Q180" s="321"/>
      <c r="R180" s="321" t="s">
        <v>539</v>
      </c>
      <c r="S180" s="323">
        <f t="shared" ref="S180:S185" si="38">I180</f>
        <v>12</v>
      </c>
      <c r="T180" s="324">
        <f t="shared" ref="T180:T185" si="39">S180</f>
        <v>12</v>
      </c>
      <c r="U180" s="332" t="s">
        <v>32</v>
      </c>
      <c r="W180">
        <f>SUM(W176:W179)</f>
        <v>2.75</v>
      </c>
    </row>
    <row r="181" spans="2:24">
      <c r="B181" s="329">
        <f>RAB!B102</f>
        <v>3</v>
      </c>
      <c r="C181" s="330" t="str">
        <f>RAB!D102</f>
        <v>Memasang pipa PVC tipe AW diameter 4"</v>
      </c>
      <c r="D181" s="317"/>
      <c r="E181" s="318"/>
      <c r="F181" s="318"/>
      <c r="G181" s="318"/>
      <c r="H181" s="319"/>
      <c r="I181" s="337">
        <v>8</v>
      </c>
      <c r="J181" s="321"/>
      <c r="K181" s="322"/>
      <c r="L181" s="321"/>
      <c r="M181" s="322"/>
      <c r="N181" s="321"/>
      <c r="O181" s="321"/>
      <c r="P181" s="321"/>
      <c r="Q181" s="321"/>
      <c r="R181" s="321" t="s">
        <v>539</v>
      </c>
      <c r="S181" s="323">
        <f t="shared" si="38"/>
        <v>8</v>
      </c>
      <c r="T181" s="324">
        <f t="shared" si="39"/>
        <v>8</v>
      </c>
      <c r="U181" s="332" t="s">
        <v>32</v>
      </c>
    </row>
    <row r="182" spans="2:24">
      <c r="B182" s="329">
        <f>RAB!B103</f>
        <v>4</v>
      </c>
      <c r="C182" s="330" t="str">
        <f>RAB!D103</f>
        <v>Pemasangan 1 Buah Closet Jongkok Porselen</v>
      </c>
      <c r="D182" s="317"/>
      <c r="E182" s="318"/>
      <c r="F182" s="318"/>
      <c r="G182" s="318"/>
      <c r="H182" s="319"/>
      <c r="I182" s="337">
        <v>2</v>
      </c>
      <c r="J182" s="321"/>
      <c r="K182" s="322"/>
      <c r="L182" s="321"/>
      <c r="M182" s="322"/>
      <c r="N182" s="321"/>
      <c r="O182" s="321"/>
      <c r="P182" s="321"/>
      <c r="Q182" s="321"/>
      <c r="R182" s="321" t="s">
        <v>539</v>
      </c>
      <c r="S182" s="323">
        <f t="shared" si="38"/>
        <v>2</v>
      </c>
      <c r="T182" s="324">
        <f t="shared" si="39"/>
        <v>2</v>
      </c>
      <c r="U182" s="332" t="s">
        <v>45</v>
      </c>
    </row>
    <row r="183" spans="2:24">
      <c r="B183" s="329">
        <f>RAB!B104</f>
        <v>5</v>
      </c>
      <c r="C183" s="330" t="str">
        <f>RAB!D104</f>
        <v>Memasang floor drain stainless</v>
      </c>
      <c r="D183" s="317"/>
      <c r="E183" s="318"/>
      <c r="F183" s="318"/>
      <c r="G183" s="318"/>
      <c r="H183" s="319"/>
      <c r="I183" s="337">
        <v>4</v>
      </c>
      <c r="J183" s="321"/>
      <c r="K183" s="322"/>
      <c r="L183" s="321"/>
      <c r="M183" s="322"/>
      <c r="N183" s="321"/>
      <c r="O183" s="321"/>
      <c r="P183" s="321"/>
      <c r="Q183" s="321"/>
      <c r="R183" s="321" t="s">
        <v>539</v>
      </c>
      <c r="S183" s="323">
        <f t="shared" si="38"/>
        <v>4</v>
      </c>
      <c r="T183" s="324">
        <f t="shared" si="39"/>
        <v>4</v>
      </c>
      <c r="U183" s="332" t="s">
        <v>45</v>
      </c>
    </row>
    <row r="184" spans="2:24">
      <c r="B184" s="329">
        <f>RAB!B105</f>
        <v>6</v>
      </c>
      <c r="C184" s="330" t="str">
        <f>RAB!D105</f>
        <v>Memasang kran diameter 1/2"atau 3/4", onda stainless</v>
      </c>
      <c r="D184" s="317"/>
      <c r="E184" s="318"/>
      <c r="F184" s="318"/>
      <c r="G184" s="318"/>
      <c r="H184" s="319"/>
      <c r="I184" s="337">
        <v>6</v>
      </c>
      <c r="J184" s="321"/>
      <c r="K184" s="322"/>
      <c r="L184" s="321"/>
      <c r="M184" s="322"/>
      <c r="N184" s="321"/>
      <c r="O184" s="321"/>
      <c r="P184" s="321"/>
      <c r="Q184" s="321"/>
      <c r="R184" s="321" t="s">
        <v>539</v>
      </c>
      <c r="S184" s="323">
        <f t="shared" si="38"/>
        <v>6</v>
      </c>
      <c r="T184" s="324">
        <f t="shared" si="39"/>
        <v>6</v>
      </c>
      <c r="U184" s="332" t="s">
        <v>45</v>
      </c>
    </row>
    <row r="185" spans="2:24">
      <c r="B185" s="329">
        <f>RAB!B106</f>
        <v>7</v>
      </c>
      <c r="C185" s="330" t="str">
        <f>RAB!D106</f>
        <v>Pembuatan septictank dan resapan</v>
      </c>
      <c r="D185" s="317"/>
      <c r="E185" s="318"/>
      <c r="F185" s="318"/>
      <c r="G185" s="318"/>
      <c r="H185" s="319"/>
      <c r="I185" s="337">
        <v>1</v>
      </c>
      <c r="J185" s="321"/>
      <c r="K185" s="322"/>
      <c r="L185" s="321"/>
      <c r="M185" s="322"/>
      <c r="N185" s="321"/>
      <c r="O185" s="321"/>
      <c r="P185" s="321"/>
      <c r="Q185" s="321"/>
      <c r="R185" s="321" t="s">
        <v>539</v>
      </c>
      <c r="S185" s="323">
        <f t="shared" si="38"/>
        <v>1</v>
      </c>
      <c r="T185" s="324">
        <f t="shared" si="39"/>
        <v>1</v>
      </c>
      <c r="U185" s="332" t="s">
        <v>51</v>
      </c>
    </row>
    <row r="186" spans="2:24">
      <c r="B186" s="329"/>
      <c r="C186" s="330"/>
      <c r="D186" s="317"/>
      <c r="E186" s="318"/>
      <c r="F186" s="318"/>
      <c r="G186" s="318"/>
      <c r="H186" s="319"/>
      <c r="I186" s="337"/>
      <c r="J186" s="321"/>
      <c r="K186" s="322"/>
      <c r="L186" s="321"/>
      <c r="M186" s="322"/>
      <c r="N186" s="321"/>
      <c r="O186" s="321"/>
      <c r="P186" s="321"/>
      <c r="Q186" s="321"/>
      <c r="R186" s="321"/>
      <c r="S186" s="323"/>
      <c r="T186" s="324"/>
      <c r="U186" s="332"/>
    </row>
    <row r="187" spans="2:24">
      <c r="B187" s="329"/>
      <c r="C187" s="330"/>
      <c r="D187" s="317"/>
      <c r="E187" s="318"/>
      <c r="F187" s="318"/>
      <c r="G187" s="318"/>
      <c r="H187" s="319"/>
      <c r="I187" s="337"/>
      <c r="J187" s="321"/>
      <c r="K187" s="322"/>
      <c r="L187" s="321"/>
      <c r="M187" s="322"/>
      <c r="N187" s="321"/>
      <c r="O187" s="321"/>
      <c r="P187" s="321"/>
      <c r="Q187" s="321"/>
      <c r="R187" s="321"/>
      <c r="S187" s="323"/>
      <c r="T187" s="324"/>
      <c r="U187" s="332"/>
    </row>
    <row r="188" spans="2:24">
      <c r="B188" s="326" t="str">
        <f>RAB!B109</f>
        <v>VIII</v>
      </c>
      <c r="C188" s="327" t="str">
        <f>RAB!D109</f>
        <v>PEKERJAAN PLAFON</v>
      </c>
      <c r="D188" s="317"/>
      <c r="E188" s="318"/>
      <c r="F188" s="318"/>
      <c r="G188" s="318"/>
      <c r="H188" s="319"/>
      <c r="I188" s="337"/>
      <c r="J188" s="321"/>
      <c r="K188" s="322"/>
      <c r="L188" s="321"/>
      <c r="M188" s="322"/>
      <c r="N188" s="321"/>
      <c r="O188" s="321"/>
      <c r="P188" s="321"/>
      <c r="Q188" s="321"/>
      <c r="R188" s="321"/>
      <c r="S188" s="323"/>
      <c r="T188" s="324"/>
      <c r="U188" s="332"/>
    </row>
    <row r="189" spans="2:24">
      <c r="B189" s="329">
        <f>RAB!B110</f>
        <v>1</v>
      </c>
      <c r="C189" s="330" t="str">
        <f>RAB!D110</f>
        <v xml:space="preserve">Memasang 1 m2 rangka plafond galvanis ukuran (60x60) cm </v>
      </c>
      <c r="D189" s="317"/>
      <c r="E189" s="318"/>
      <c r="F189" s="318"/>
      <c r="G189" s="318"/>
      <c r="H189" s="319"/>
      <c r="I189" s="337">
        <v>9</v>
      </c>
      <c r="J189" s="321" t="s">
        <v>167</v>
      </c>
      <c r="K189" s="322">
        <v>5</v>
      </c>
      <c r="L189" s="321"/>
      <c r="M189" s="322"/>
      <c r="N189" s="321"/>
      <c r="O189" s="321"/>
      <c r="P189" s="321"/>
      <c r="Q189" s="321"/>
      <c r="R189" s="321" t="s">
        <v>539</v>
      </c>
      <c r="S189" s="323">
        <f>I189*K189</f>
        <v>45</v>
      </c>
      <c r="T189" s="324">
        <f>S189</f>
        <v>45</v>
      </c>
      <c r="U189" s="332" t="s">
        <v>100</v>
      </c>
    </row>
    <row r="190" spans="2:24">
      <c r="B190" s="329">
        <f>RAB!B111</f>
        <v>2</v>
      </c>
      <c r="C190" s="330" t="str">
        <f>RAB!D111</f>
        <v>Memasang langit-langit gypsum board uk. (120x240), tb. 9 mm.</v>
      </c>
      <c r="D190" s="317"/>
      <c r="E190" s="318"/>
      <c r="F190" s="318"/>
      <c r="G190" s="318"/>
      <c r="H190" s="319"/>
      <c r="I190" s="337">
        <f>I189</f>
        <v>9</v>
      </c>
      <c r="J190" s="321" t="s">
        <v>167</v>
      </c>
      <c r="K190" s="322">
        <f>K189</f>
        <v>5</v>
      </c>
      <c r="L190" s="321"/>
      <c r="M190" s="322"/>
      <c r="N190" s="321"/>
      <c r="O190" s="321"/>
      <c r="P190" s="321"/>
      <c r="Q190" s="321"/>
      <c r="R190" s="321" t="s">
        <v>539</v>
      </c>
      <c r="S190" s="323">
        <f>I190*K190</f>
        <v>45</v>
      </c>
      <c r="T190" s="324">
        <f>S190</f>
        <v>45</v>
      </c>
      <c r="U190" s="332" t="s">
        <v>100</v>
      </c>
    </row>
    <row r="191" spans="2:24">
      <c r="B191" s="329">
        <f>RAB!B112</f>
        <v>3</v>
      </c>
      <c r="C191" s="330" t="str">
        <f>RAB!D112</f>
        <v>Memasang list shadow line galvalum</v>
      </c>
      <c r="D191" s="317"/>
      <c r="E191" s="318"/>
      <c r="F191" s="318"/>
      <c r="G191" s="318"/>
      <c r="H191" s="319"/>
      <c r="I191" s="337">
        <f>I190+I190+K190+K190</f>
        <v>28</v>
      </c>
      <c r="J191" s="321" t="s">
        <v>168</v>
      </c>
      <c r="K191" s="322">
        <f>(1.65+1.65+1.15)*2</f>
        <v>8.8999999999999986</v>
      </c>
      <c r="L191" s="321"/>
      <c r="M191" s="322"/>
      <c r="N191" s="321"/>
      <c r="O191" s="321"/>
      <c r="P191" s="321"/>
      <c r="Q191" s="321"/>
      <c r="R191" s="321" t="s">
        <v>539</v>
      </c>
      <c r="S191" s="323">
        <f>I191+K191</f>
        <v>36.9</v>
      </c>
      <c r="T191" s="324">
        <f>S191</f>
        <v>36.9</v>
      </c>
      <c r="U191" s="332" t="s">
        <v>32</v>
      </c>
    </row>
    <row r="192" spans="2:24">
      <c r="B192" s="329"/>
      <c r="C192" s="330"/>
      <c r="D192" s="317"/>
      <c r="E192" s="318"/>
      <c r="F192" s="318"/>
      <c r="G192" s="318"/>
      <c r="H192" s="319"/>
      <c r="I192" s="337"/>
      <c r="J192" s="321"/>
      <c r="K192" s="322"/>
      <c r="L192" s="321"/>
      <c r="M192" s="322"/>
      <c r="N192" s="321"/>
      <c r="O192" s="321"/>
      <c r="P192" s="321"/>
      <c r="Q192" s="321"/>
      <c r="R192" s="321"/>
      <c r="S192" s="323"/>
      <c r="T192" s="324"/>
      <c r="U192" s="332"/>
    </row>
    <row r="193" spans="2:27">
      <c r="B193" s="329"/>
      <c r="C193" s="330"/>
      <c r="D193" s="317"/>
      <c r="E193" s="318"/>
      <c r="F193" s="318"/>
      <c r="G193" s="318"/>
      <c r="H193" s="319"/>
      <c r="I193" s="337"/>
      <c r="J193" s="321"/>
      <c r="K193" s="322"/>
      <c r="L193" s="321"/>
      <c r="M193" s="322"/>
      <c r="N193" s="321"/>
      <c r="O193" s="321"/>
      <c r="P193" s="321"/>
      <c r="Q193" s="321"/>
      <c r="R193" s="321"/>
      <c r="S193" s="323"/>
      <c r="T193" s="324"/>
      <c r="U193" s="332"/>
    </row>
    <row r="194" spans="2:27">
      <c r="B194" s="326" t="str">
        <f>RAB!B115</f>
        <v>IX</v>
      </c>
      <c r="C194" s="327" t="str">
        <f>RAB!D115</f>
        <v>PEKERJAAN ATAP</v>
      </c>
      <c r="D194" s="317"/>
      <c r="E194" s="318"/>
      <c r="F194" s="318"/>
      <c r="G194" s="318"/>
      <c r="H194" s="319"/>
      <c r="I194" s="337"/>
      <c r="J194" s="321"/>
      <c r="K194" s="322"/>
      <c r="L194" s="321"/>
      <c r="M194" s="322"/>
      <c r="N194" s="321"/>
      <c r="O194" s="321"/>
      <c r="P194" s="321"/>
      <c r="Q194" s="321"/>
      <c r="R194" s="321"/>
      <c r="S194" s="323"/>
      <c r="T194" s="324"/>
      <c r="U194" s="332"/>
    </row>
    <row r="195" spans="2:27">
      <c r="B195" s="329">
        <f>RAB!B116</f>
        <v>1</v>
      </c>
      <c r="C195" s="330" t="str">
        <f>RAB!D116</f>
        <v>Pasang Rangka atap baja ringan C 75</v>
      </c>
      <c r="D195" s="317"/>
      <c r="E195" s="318"/>
      <c r="F195" s="318"/>
      <c r="G195" s="318"/>
      <c r="H195" s="319"/>
      <c r="I195" s="337">
        <f>I189</f>
        <v>9</v>
      </c>
      <c r="J195" s="321" t="s">
        <v>167</v>
      </c>
      <c r="K195" s="322">
        <v>2.6</v>
      </c>
      <c r="L195" s="321" t="s">
        <v>167</v>
      </c>
      <c r="M195" s="322">
        <v>2</v>
      </c>
      <c r="N195" s="321"/>
      <c r="O195" s="321"/>
      <c r="P195" s="321"/>
      <c r="Q195" s="321"/>
      <c r="R195" s="321" t="s">
        <v>539</v>
      </c>
      <c r="S195" s="323">
        <f>I195*K195*M195</f>
        <v>46.800000000000004</v>
      </c>
      <c r="T195" s="324">
        <f>S195</f>
        <v>46.800000000000004</v>
      </c>
      <c r="U195" s="332" t="s">
        <v>100</v>
      </c>
    </row>
    <row r="196" spans="2:27">
      <c r="B196" s="329">
        <f>RAB!B117</f>
        <v>2</v>
      </c>
      <c r="C196" s="330" t="str">
        <f>RAB!D117</f>
        <v>Pasang penutup atap galvalum berpasir</v>
      </c>
      <c r="D196" s="317"/>
      <c r="E196" s="318"/>
      <c r="F196" s="318"/>
      <c r="G196" s="318"/>
      <c r="H196" s="319"/>
      <c r="I196" s="337">
        <f>I195</f>
        <v>9</v>
      </c>
      <c r="J196" s="321" t="s">
        <v>167</v>
      </c>
      <c r="K196" s="322">
        <v>2.35</v>
      </c>
      <c r="L196" s="321" t="s">
        <v>167</v>
      </c>
      <c r="M196" s="322">
        <v>2</v>
      </c>
      <c r="N196" s="321"/>
      <c r="O196" s="321"/>
      <c r="P196" s="321"/>
      <c r="Q196" s="321"/>
      <c r="R196" s="321" t="s">
        <v>539</v>
      </c>
      <c r="S196" s="323">
        <f>I196*K196*M196</f>
        <v>42.300000000000004</v>
      </c>
      <c r="T196" s="324">
        <f>S196</f>
        <v>42.300000000000004</v>
      </c>
      <c r="U196" s="332" t="s">
        <v>100</v>
      </c>
    </row>
    <row r="197" spans="2:27">
      <c r="B197" s="329">
        <f>RAB!B119</f>
        <v>3</v>
      </c>
      <c r="C197" s="330" t="str">
        <f>RAB!D119</f>
        <v>Pemasangan 1 m' Talang datar / Jurai seng bjls 28 lebar 90 cm</v>
      </c>
      <c r="D197" s="317"/>
      <c r="E197" s="318"/>
      <c r="F197" s="318"/>
      <c r="G197" s="318"/>
      <c r="H197" s="319"/>
      <c r="I197" s="337">
        <v>9</v>
      </c>
      <c r="J197" s="321"/>
      <c r="K197" s="322"/>
      <c r="L197" s="321"/>
      <c r="M197" s="322"/>
      <c r="N197" s="321"/>
      <c r="O197" s="321"/>
      <c r="P197" s="321"/>
      <c r="Q197" s="321"/>
      <c r="R197" s="321" t="s">
        <v>539</v>
      </c>
      <c r="S197" s="323">
        <f>I197</f>
        <v>9</v>
      </c>
      <c r="T197" s="324">
        <f>S197</f>
        <v>9</v>
      </c>
      <c r="U197" s="332" t="s">
        <v>32</v>
      </c>
    </row>
    <row r="198" spans="2:27">
      <c r="B198" s="329"/>
      <c r="C198" s="330"/>
      <c r="D198" s="317"/>
      <c r="E198" s="318"/>
      <c r="F198" s="318"/>
      <c r="G198" s="318"/>
      <c r="H198" s="319"/>
      <c r="I198" s="337"/>
      <c r="J198" s="321"/>
      <c r="K198" s="322"/>
      <c r="L198" s="321"/>
      <c r="M198" s="322"/>
      <c r="N198" s="321"/>
      <c r="O198" s="321"/>
      <c r="P198" s="321"/>
      <c r="Q198" s="321"/>
      <c r="R198" s="321"/>
      <c r="S198" s="323"/>
      <c r="T198" s="324"/>
      <c r="U198" s="332"/>
    </row>
    <row r="199" spans="2:27">
      <c r="B199" s="329"/>
      <c r="C199" s="330"/>
      <c r="D199" s="317"/>
      <c r="E199" s="318"/>
      <c r="F199" s="318"/>
      <c r="G199" s="318"/>
      <c r="H199" s="319"/>
      <c r="I199" s="337"/>
      <c r="J199" s="321"/>
      <c r="K199" s="322"/>
      <c r="L199" s="321"/>
      <c r="M199" s="322"/>
      <c r="N199" s="321"/>
      <c r="O199" s="321"/>
      <c r="P199" s="321"/>
      <c r="Q199" s="321"/>
      <c r="R199" s="321"/>
      <c r="S199" s="323"/>
      <c r="T199" s="324"/>
      <c r="U199" s="332"/>
    </row>
    <row r="200" spans="2:27">
      <c r="B200" s="326" t="str">
        <f>RAB!B122</f>
        <v>X</v>
      </c>
      <c r="C200" s="327" t="str">
        <f>RAB!D122</f>
        <v>PEKERJAAN PENGECATAN DAN LAIN-LAIN</v>
      </c>
      <c r="D200" s="317"/>
      <c r="E200" s="318"/>
      <c r="F200" s="318"/>
      <c r="G200" s="318"/>
      <c r="H200" s="319"/>
      <c r="I200" s="337"/>
      <c r="J200" s="321"/>
      <c r="K200" s="322"/>
      <c r="L200" s="321"/>
      <c r="M200" s="322"/>
      <c r="N200" s="321"/>
      <c r="O200" s="321"/>
      <c r="P200" s="321"/>
      <c r="Q200" s="321"/>
      <c r="R200" s="321"/>
      <c r="S200" s="323"/>
      <c r="T200" s="324"/>
      <c r="U200" s="332"/>
    </row>
    <row r="201" spans="2:27">
      <c r="B201" s="329">
        <f>RAB!B123</f>
        <v>1</v>
      </c>
      <c r="C201" s="330" t="str">
        <f>RAB!D123</f>
        <v>Pengecatan 1m2 dinding baru (cat interior)</v>
      </c>
      <c r="D201" s="317"/>
      <c r="E201" s="318"/>
      <c r="F201" s="318"/>
      <c r="G201" s="318"/>
      <c r="H201" s="319"/>
      <c r="I201" s="337">
        <f>T57</f>
        <v>221.48999999999995</v>
      </c>
      <c r="J201" s="321" t="s">
        <v>167</v>
      </c>
      <c r="K201" s="322">
        <v>0.55000000000000004</v>
      </c>
      <c r="L201" s="321"/>
      <c r="M201" s="322"/>
      <c r="N201" s="321"/>
      <c r="O201" s="321"/>
      <c r="P201" s="321"/>
      <c r="Q201" s="321"/>
      <c r="R201" s="321" t="s">
        <v>539</v>
      </c>
      <c r="S201" s="323">
        <f t="shared" ref="S201:S203" si="40">I201*K201</f>
        <v>121.81949999999998</v>
      </c>
      <c r="T201" s="324">
        <f>S201</f>
        <v>121.81949999999998</v>
      </c>
      <c r="U201" s="332" t="s">
        <v>100</v>
      </c>
    </row>
    <row r="202" spans="2:27">
      <c r="B202" s="329">
        <f>RAB!B124</f>
        <v>2</v>
      </c>
      <c r="C202" s="330" t="str">
        <f>RAB!D124</f>
        <v>Pengecatan 1m2 dinding luar (cat exterior)</v>
      </c>
      <c r="D202" s="317"/>
      <c r="E202" s="318"/>
      <c r="F202" s="318"/>
      <c r="G202" s="318"/>
      <c r="H202" s="319"/>
      <c r="I202" s="337">
        <f>I201</f>
        <v>221.48999999999995</v>
      </c>
      <c r="J202" s="321" t="s">
        <v>167</v>
      </c>
      <c r="K202" s="322">
        <f>1-K201</f>
        <v>0.44999999999999996</v>
      </c>
      <c r="L202" s="321"/>
      <c r="M202" s="322"/>
      <c r="N202" s="321"/>
      <c r="O202" s="321"/>
      <c r="P202" s="321"/>
      <c r="Q202" s="321"/>
      <c r="R202" s="321" t="s">
        <v>539</v>
      </c>
      <c r="S202" s="323">
        <f t="shared" si="40"/>
        <v>99.670499999999976</v>
      </c>
      <c r="T202" s="324">
        <f>S202</f>
        <v>99.670499999999976</v>
      </c>
      <c r="U202" s="332" t="s">
        <v>100</v>
      </c>
    </row>
    <row r="203" spans="2:27">
      <c r="B203" s="329">
        <f>RAB!B125</f>
        <v>3</v>
      </c>
      <c r="C203" s="330" t="str">
        <f>RAB!D125</f>
        <v>Pengecatan 1m2 plafon</v>
      </c>
      <c r="D203" s="317"/>
      <c r="E203" s="318"/>
      <c r="F203" s="318"/>
      <c r="G203" s="318"/>
      <c r="H203" s="319"/>
      <c r="I203" s="337">
        <f>I196</f>
        <v>9</v>
      </c>
      <c r="J203" s="321" t="s">
        <v>167</v>
      </c>
      <c r="K203" s="322">
        <v>5</v>
      </c>
      <c r="L203" s="321"/>
      <c r="M203" s="322"/>
      <c r="N203" s="321"/>
      <c r="O203" s="321"/>
      <c r="P203" s="321"/>
      <c r="Q203" s="321"/>
      <c r="R203" s="321" t="s">
        <v>539</v>
      </c>
      <c r="S203" s="323">
        <f t="shared" si="40"/>
        <v>45</v>
      </c>
      <c r="T203" s="324">
        <f t="shared" ref="T203" si="41">SUM(S203:S204)</f>
        <v>45</v>
      </c>
      <c r="U203" s="332" t="s">
        <v>100</v>
      </c>
    </row>
    <row r="204" spans="2:27">
      <c r="B204" s="326"/>
      <c r="C204" s="327"/>
      <c r="D204" s="317"/>
      <c r="E204" s="318"/>
      <c r="F204" s="318"/>
      <c r="G204" s="318"/>
      <c r="H204" s="319"/>
      <c r="I204" s="337"/>
      <c r="J204" s="321"/>
      <c r="K204" s="322"/>
      <c r="L204" s="321"/>
      <c r="M204" s="322"/>
      <c r="N204" s="321"/>
      <c r="O204" s="321"/>
      <c r="P204" s="321"/>
      <c r="Q204" s="321"/>
      <c r="R204" s="321"/>
      <c r="S204" s="323"/>
      <c r="T204" s="324"/>
      <c r="U204" s="332"/>
      <c r="AA204" s="338"/>
    </row>
    <row r="205" spans="2:27">
      <c r="B205" s="326"/>
      <c r="C205" s="327"/>
      <c r="D205" s="317"/>
      <c r="E205" s="318"/>
      <c r="F205" s="318"/>
      <c r="G205" s="318"/>
      <c r="H205" s="319"/>
      <c r="I205" s="337"/>
      <c r="J205" s="321"/>
      <c r="K205" s="322"/>
      <c r="L205" s="321"/>
      <c r="M205" s="322"/>
      <c r="N205" s="321"/>
      <c r="O205" s="321"/>
      <c r="P205" s="321"/>
      <c r="Q205" s="321"/>
      <c r="R205" s="321"/>
      <c r="S205" s="323"/>
      <c r="T205" s="324"/>
      <c r="U205" s="332"/>
      <c r="AA205" s="338"/>
    </row>
    <row r="206" spans="2:27" ht="13.5" thickBot="1">
      <c r="B206" s="453"/>
      <c r="C206" s="454"/>
      <c r="D206" s="455"/>
      <c r="E206" s="456"/>
      <c r="F206" s="456"/>
      <c r="G206" s="456"/>
      <c r="H206" s="457"/>
      <c r="I206" s="458"/>
      <c r="J206" s="459"/>
      <c r="K206" s="460"/>
      <c r="L206" s="459"/>
      <c r="M206" s="460"/>
      <c r="N206" s="459"/>
      <c r="O206" s="459"/>
      <c r="P206" s="459"/>
      <c r="Q206" s="459"/>
      <c r="R206" s="459"/>
      <c r="S206" s="461"/>
      <c r="T206" s="462"/>
      <c r="U206" s="463"/>
    </row>
    <row r="210" spans="12:12">
      <c r="L210" s="335"/>
    </row>
    <row r="211" spans="12:12">
      <c r="L211" s="336"/>
    </row>
  </sheetData>
  <mergeCells count="3">
    <mergeCell ref="B2:U2"/>
    <mergeCell ref="B3:N3"/>
    <mergeCell ref="C11:H11"/>
  </mergeCells>
  <pageMargins left="0.7" right="0.7" top="0.75" bottom="0.75" header="0.3" footer="0.3"/>
  <pageSetup paperSize="9" orientation="portrait" horizontalDpi="4294967292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R36"/>
  <sheetViews>
    <sheetView topLeftCell="A4" zoomScale="70" zoomScaleNormal="70" workbookViewId="0">
      <selection activeCell="I19" sqref="I19"/>
    </sheetView>
  </sheetViews>
  <sheetFormatPr defaultColWidth="9" defaultRowHeight="17.25"/>
  <cols>
    <col min="1" max="1" width="8.28515625" style="12" customWidth="1"/>
    <col min="2" max="2" width="12.7109375" style="12" customWidth="1"/>
    <col min="3" max="3" width="6.7109375" style="12" customWidth="1"/>
    <col min="4" max="4" width="10.5703125" style="12" customWidth="1"/>
    <col min="5" max="5" width="7.85546875" style="12" customWidth="1"/>
    <col min="6" max="7" width="21.7109375" style="12" customWidth="1"/>
    <col min="8" max="8" width="17.28515625" style="12" customWidth="1"/>
    <col min="9" max="9" width="19.5703125" style="12" customWidth="1"/>
    <col min="10" max="13" width="17.28515625" style="12" customWidth="1"/>
    <col min="14" max="14" width="6.7109375" style="12" customWidth="1"/>
    <col min="15" max="15" width="17.28515625" style="12" customWidth="1"/>
    <col min="16" max="16" width="12.85546875" style="12" customWidth="1"/>
    <col min="17" max="17" width="11.5703125" style="12" bestFit="1" customWidth="1"/>
    <col min="18" max="18" width="9.140625" style="12" bestFit="1" customWidth="1"/>
    <col min="19" max="16384" width="9" style="12"/>
  </cols>
  <sheetData>
    <row r="2" spans="1:18">
      <c r="A2" s="1009" t="s">
        <v>384</v>
      </c>
      <c r="B2" s="1009"/>
      <c r="C2" s="1009"/>
      <c r="D2" s="1009"/>
      <c r="E2" s="1009"/>
      <c r="F2" s="1009"/>
      <c r="G2" s="1009"/>
      <c r="H2" s="1009"/>
      <c r="I2" s="1009"/>
      <c r="J2" s="1009"/>
      <c r="K2" s="1009"/>
      <c r="L2" s="1009"/>
      <c r="M2" s="1009"/>
      <c r="O2" s="13"/>
      <c r="P2" s="14"/>
      <c r="Q2" s="14"/>
      <c r="R2" s="15"/>
    </row>
    <row r="3" spans="1:18" ht="18" thickBot="1">
      <c r="A3" s="16"/>
      <c r="B3" s="8"/>
      <c r="C3" s="8"/>
      <c r="D3" s="9"/>
      <c r="E3" s="8"/>
      <c r="F3" s="10"/>
      <c r="G3" s="8"/>
      <c r="H3" s="11"/>
      <c r="I3" s="10"/>
      <c r="J3" s="10"/>
      <c r="K3" s="10"/>
      <c r="L3" s="10"/>
      <c r="M3" s="10"/>
    </row>
    <row r="4" spans="1:18" ht="15" customHeight="1">
      <c r="A4" s="46"/>
      <c r="B4" s="47"/>
      <c r="C4" s="47"/>
      <c r="D4" s="48"/>
      <c r="E4" s="47"/>
      <c r="F4" s="49"/>
      <c r="G4" s="50"/>
      <c r="H4" s="51"/>
      <c r="I4" s="1002" t="s">
        <v>385</v>
      </c>
      <c r="J4" s="1004" t="s">
        <v>386</v>
      </c>
      <c r="K4" s="52" t="s">
        <v>418</v>
      </c>
      <c r="L4" s="52" t="s">
        <v>419</v>
      </c>
      <c r="M4" s="53" t="s">
        <v>59</v>
      </c>
    </row>
    <row r="5" spans="1:18">
      <c r="A5" s="54" t="s">
        <v>166</v>
      </c>
      <c r="B5" s="17" t="s">
        <v>387</v>
      </c>
      <c r="C5" s="17" t="s">
        <v>308</v>
      </c>
      <c r="D5" s="18" t="s">
        <v>388</v>
      </c>
      <c r="E5" s="17" t="s">
        <v>310</v>
      </c>
      <c r="F5" s="1006" t="s">
        <v>121</v>
      </c>
      <c r="G5" s="1007"/>
      <c r="H5" s="1008"/>
      <c r="I5" s="1003"/>
      <c r="J5" s="1005"/>
      <c r="K5" s="19" t="s">
        <v>421</v>
      </c>
      <c r="L5" s="19"/>
      <c r="M5" s="55" t="s">
        <v>423</v>
      </c>
    </row>
    <row r="6" spans="1:18">
      <c r="A6" s="54"/>
      <c r="B6" s="20"/>
      <c r="C6" s="20"/>
      <c r="D6" s="21"/>
      <c r="E6" s="20"/>
      <c r="F6" s="22"/>
      <c r="G6" s="8"/>
      <c r="H6" s="23"/>
      <c r="I6" s="24" t="s">
        <v>389</v>
      </c>
      <c r="J6" s="25" t="s">
        <v>389</v>
      </c>
      <c r="K6" s="26"/>
      <c r="L6" s="26"/>
      <c r="M6" s="56" t="s">
        <v>61</v>
      </c>
    </row>
    <row r="7" spans="1:18">
      <c r="A7" s="57"/>
      <c r="B7" s="27"/>
      <c r="C7" s="27"/>
      <c r="D7" s="28"/>
      <c r="E7" s="27"/>
      <c r="F7" s="29"/>
      <c r="G7" s="27"/>
      <c r="H7" s="30"/>
      <c r="I7" s="29"/>
      <c r="J7" s="29"/>
      <c r="K7" s="31"/>
      <c r="L7" s="31"/>
      <c r="M7" s="58"/>
    </row>
    <row r="8" spans="1:18">
      <c r="A8" s="54"/>
      <c r="B8" s="17"/>
      <c r="C8" s="32"/>
      <c r="D8" s="33"/>
      <c r="E8" s="17"/>
      <c r="F8" s="34" t="s">
        <v>390</v>
      </c>
      <c r="G8" s="8"/>
      <c r="H8" s="23"/>
      <c r="I8" s="35"/>
      <c r="J8" s="22"/>
      <c r="K8" s="36"/>
      <c r="L8" s="36"/>
      <c r="M8" s="59"/>
    </row>
    <row r="9" spans="1:18">
      <c r="A9" s="57"/>
      <c r="B9" s="27"/>
      <c r="C9" s="27"/>
      <c r="D9" s="28"/>
      <c r="E9" s="27"/>
      <c r="F9" s="29"/>
      <c r="G9" s="27"/>
      <c r="H9" s="30"/>
      <c r="I9" s="29"/>
      <c r="J9" s="29"/>
      <c r="K9" s="36"/>
      <c r="L9" s="36"/>
      <c r="M9" s="59"/>
    </row>
    <row r="10" spans="1:18">
      <c r="A10" s="60">
        <v>1</v>
      </c>
      <c r="B10" s="37" t="s">
        <v>391</v>
      </c>
      <c r="C10" s="38"/>
      <c r="D10" s="39">
        <v>1</v>
      </c>
      <c r="E10" s="37" t="s">
        <v>299</v>
      </c>
      <c r="F10" s="40" t="s">
        <v>392</v>
      </c>
      <c r="G10" s="27"/>
      <c r="H10" s="41"/>
      <c r="I10" s="42"/>
      <c r="J10" s="40">
        <f>+J25</f>
        <v>3608000</v>
      </c>
      <c r="K10" s="43"/>
      <c r="L10" s="43"/>
      <c r="M10" s="61"/>
    </row>
    <row r="11" spans="1:18" ht="18.75">
      <c r="A11" s="62"/>
      <c r="B11" s="63"/>
      <c r="C11" s="63"/>
      <c r="D11" s="64"/>
      <c r="E11" s="65" t="s">
        <v>213</v>
      </c>
      <c r="F11" s="66" t="s">
        <v>393</v>
      </c>
      <c r="G11" s="67"/>
      <c r="H11" s="68"/>
      <c r="I11" s="69"/>
      <c r="J11" s="66"/>
      <c r="K11" s="70"/>
      <c r="L11" s="70"/>
      <c r="M11" s="71"/>
      <c r="O11" s="13"/>
    </row>
    <row r="12" spans="1:18" ht="18.75">
      <c r="A12" s="72"/>
      <c r="B12" s="73"/>
      <c r="C12" s="73"/>
      <c r="D12" s="74">
        <v>1</v>
      </c>
      <c r="E12" s="75" t="s">
        <v>394</v>
      </c>
      <c r="F12" s="76" t="s">
        <v>395</v>
      </c>
      <c r="G12" s="77"/>
      <c r="H12" s="78"/>
      <c r="I12" s="79">
        <v>2300000</v>
      </c>
      <c r="J12" s="80">
        <f>D12*I12</f>
        <v>2300000</v>
      </c>
      <c r="K12" s="81">
        <v>1</v>
      </c>
      <c r="L12" s="82"/>
      <c r="M12" s="83">
        <f t="shared" ref="M12" si="0">K12*I12</f>
        <v>2300000</v>
      </c>
    </row>
    <row r="13" spans="1:18">
      <c r="A13" s="84"/>
      <c r="B13" s="85"/>
      <c r="C13" s="85"/>
      <c r="D13" s="86"/>
      <c r="E13" s="87" t="s">
        <v>214</v>
      </c>
      <c r="F13" s="88" t="s">
        <v>396</v>
      </c>
      <c r="G13" s="89"/>
      <c r="H13" s="90"/>
      <c r="I13" s="91"/>
      <c r="J13" s="88"/>
      <c r="K13" s="92"/>
      <c r="L13" s="92"/>
      <c r="M13" s="93"/>
    </row>
    <row r="14" spans="1:18">
      <c r="A14" s="84"/>
      <c r="B14" s="85"/>
      <c r="C14" s="85"/>
      <c r="D14" s="86">
        <v>10</v>
      </c>
      <c r="E14" s="94" t="s">
        <v>299</v>
      </c>
      <c r="F14" s="95" t="s">
        <v>397</v>
      </c>
      <c r="G14" s="89"/>
      <c r="H14" s="90"/>
      <c r="I14" s="91">
        <v>20000</v>
      </c>
      <c r="J14" s="95">
        <f>+D14*I14</f>
        <v>200000</v>
      </c>
      <c r="K14" s="96">
        <v>0</v>
      </c>
      <c r="L14" s="97"/>
      <c r="M14" s="83">
        <f t="shared" ref="M14:M21" si="1">K14*I14</f>
        <v>0</v>
      </c>
    </row>
    <row r="15" spans="1:18">
      <c r="A15" s="84"/>
      <c r="B15" s="85"/>
      <c r="C15" s="85"/>
      <c r="D15" s="86">
        <v>2</v>
      </c>
      <c r="E15" s="94" t="s">
        <v>398</v>
      </c>
      <c r="F15" s="95" t="s">
        <v>399</v>
      </c>
      <c r="G15" s="89"/>
      <c r="H15" s="90"/>
      <c r="I15" s="91">
        <v>15000</v>
      </c>
      <c r="J15" s="95">
        <f t="shared" ref="J15:J20" si="2">+D15*I15</f>
        <v>30000</v>
      </c>
      <c r="K15" s="96">
        <f t="shared" ref="K15:K20" si="3">$K$14</f>
        <v>0</v>
      </c>
      <c r="L15" s="97"/>
      <c r="M15" s="83">
        <f t="shared" si="1"/>
        <v>0</v>
      </c>
    </row>
    <row r="16" spans="1:18">
      <c r="A16" s="84"/>
      <c r="B16" s="85"/>
      <c r="C16" s="85"/>
      <c r="D16" s="86">
        <f>D14</f>
        <v>10</v>
      </c>
      <c r="E16" s="94" t="s">
        <v>400</v>
      </c>
      <c r="F16" s="95" t="s">
        <v>401</v>
      </c>
      <c r="G16" s="89"/>
      <c r="H16" s="90"/>
      <c r="I16" s="91">
        <v>15000</v>
      </c>
      <c r="J16" s="95">
        <f t="shared" si="2"/>
        <v>150000</v>
      </c>
      <c r="K16" s="96">
        <f t="shared" si="3"/>
        <v>0</v>
      </c>
      <c r="L16" s="97"/>
      <c r="M16" s="83">
        <f t="shared" si="1"/>
        <v>0</v>
      </c>
    </row>
    <row r="17" spans="1:15">
      <c r="A17" s="84"/>
      <c r="B17" s="85"/>
      <c r="C17" s="85"/>
      <c r="D17" s="86">
        <f>D14</f>
        <v>10</v>
      </c>
      <c r="E17" s="94" t="s">
        <v>400</v>
      </c>
      <c r="F17" s="95" t="s">
        <v>402</v>
      </c>
      <c r="G17" s="89"/>
      <c r="H17" s="90"/>
      <c r="I17" s="91">
        <v>25000</v>
      </c>
      <c r="J17" s="95">
        <f t="shared" si="2"/>
        <v>250000</v>
      </c>
      <c r="K17" s="96">
        <f t="shared" si="3"/>
        <v>0</v>
      </c>
      <c r="L17" s="97"/>
      <c r="M17" s="83">
        <f t="shared" si="1"/>
        <v>0</v>
      </c>
    </row>
    <row r="18" spans="1:15">
      <c r="A18" s="84"/>
      <c r="B18" s="85"/>
      <c r="C18" s="85"/>
      <c r="D18" s="86">
        <f>D17</f>
        <v>10</v>
      </c>
      <c r="E18" s="94" t="s">
        <v>299</v>
      </c>
      <c r="F18" s="95" t="s">
        <v>403</v>
      </c>
      <c r="G18" s="89"/>
      <c r="H18" s="90"/>
      <c r="I18" s="91">
        <v>10000</v>
      </c>
      <c r="J18" s="95">
        <f t="shared" si="2"/>
        <v>100000</v>
      </c>
      <c r="K18" s="96">
        <f t="shared" si="3"/>
        <v>0</v>
      </c>
      <c r="L18" s="97"/>
      <c r="M18" s="83">
        <f t="shared" si="1"/>
        <v>0</v>
      </c>
    </row>
    <row r="19" spans="1:15">
      <c r="A19" s="84"/>
      <c r="B19" s="85"/>
      <c r="C19" s="85"/>
      <c r="D19" s="86">
        <v>2</v>
      </c>
      <c r="E19" s="94" t="s">
        <v>53</v>
      </c>
      <c r="F19" s="95" t="s">
        <v>404</v>
      </c>
      <c r="G19" s="89"/>
      <c r="H19" s="90"/>
      <c r="I19" s="91">
        <v>50000</v>
      </c>
      <c r="J19" s="95">
        <f t="shared" si="2"/>
        <v>100000</v>
      </c>
      <c r="K19" s="96">
        <f t="shared" si="3"/>
        <v>0</v>
      </c>
      <c r="L19" s="97"/>
      <c r="M19" s="83">
        <f t="shared" si="1"/>
        <v>0</v>
      </c>
    </row>
    <row r="20" spans="1:15">
      <c r="A20" s="84"/>
      <c r="B20" s="85"/>
      <c r="C20" s="85"/>
      <c r="D20" s="86">
        <v>1</v>
      </c>
      <c r="E20" s="94" t="s">
        <v>29</v>
      </c>
      <c r="F20" s="95" t="s">
        <v>405</v>
      </c>
      <c r="G20" s="89"/>
      <c r="H20" s="90"/>
      <c r="I20" s="91">
        <v>150000</v>
      </c>
      <c r="J20" s="95">
        <f t="shared" si="2"/>
        <v>150000</v>
      </c>
      <c r="K20" s="96">
        <f t="shared" si="3"/>
        <v>0</v>
      </c>
      <c r="L20" s="97"/>
      <c r="M20" s="83">
        <f t="shared" si="1"/>
        <v>0</v>
      </c>
    </row>
    <row r="21" spans="1:15">
      <c r="A21" s="98"/>
      <c r="B21" s="99"/>
      <c r="C21" s="99"/>
      <c r="D21" s="100"/>
      <c r="E21" s="101"/>
      <c r="F21" s="102"/>
      <c r="G21" s="103"/>
      <c r="H21" s="104"/>
      <c r="I21" s="105"/>
      <c r="J21" s="102"/>
      <c r="K21" s="106"/>
      <c r="L21" s="107"/>
      <c r="M21" s="108">
        <f t="shared" si="1"/>
        <v>0</v>
      </c>
    </row>
    <row r="22" spans="1:15">
      <c r="A22" s="60"/>
      <c r="B22" s="109"/>
      <c r="C22" s="38"/>
      <c r="D22" s="110"/>
      <c r="E22" s="37" t="s">
        <v>215</v>
      </c>
      <c r="F22" s="111" t="s">
        <v>406</v>
      </c>
      <c r="G22" s="27"/>
      <c r="H22" s="41"/>
      <c r="I22" s="42"/>
      <c r="J22" s="40">
        <f>SUM(J14:J21)</f>
        <v>980000</v>
      </c>
      <c r="K22" s="43"/>
      <c r="L22" s="43"/>
      <c r="M22" s="61"/>
    </row>
    <row r="23" spans="1:15">
      <c r="A23" s="60"/>
      <c r="B23" s="109"/>
      <c r="C23" s="38"/>
      <c r="D23" s="110"/>
      <c r="E23" s="37" t="s">
        <v>216</v>
      </c>
      <c r="F23" s="111" t="s">
        <v>407</v>
      </c>
      <c r="G23" s="27"/>
      <c r="H23" s="41"/>
      <c r="I23" s="42"/>
      <c r="J23" s="40">
        <f>+J22+J12</f>
        <v>3280000</v>
      </c>
      <c r="K23" s="112">
        <f>M23/J23</f>
        <v>0.70121951219512191</v>
      </c>
      <c r="L23" s="113"/>
      <c r="M23" s="114">
        <f>SUM(M8:M22)</f>
        <v>2300000</v>
      </c>
      <c r="O23" s="13"/>
    </row>
    <row r="24" spans="1:15">
      <c r="A24" s="60"/>
      <c r="B24" s="109"/>
      <c r="C24" s="38"/>
      <c r="D24" s="110"/>
      <c r="E24" s="37" t="s">
        <v>217</v>
      </c>
      <c r="F24" s="111" t="s">
        <v>408</v>
      </c>
      <c r="G24" s="27"/>
      <c r="H24" s="115">
        <v>0.1</v>
      </c>
      <c r="I24" s="42"/>
      <c r="J24" s="40">
        <f>+H24*J23</f>
        <v>328000</v>
      </c>
      <c r="K24" s="43"/>
      <c r="L24" s="43"/>
      <c r="M24" s="61"/>
      <c r="O24" s="13"/>
    </row>
    <row r="25" spans="1:15" ht="18" thickBot="1">
      <c r="A25" s="116"/>
      <c r="B25" s="117"/>
      <c r="C25" s="118"/>
      <c r="D25" s="119"/>
      <c r="E25" s="120" t="s">
        <v>222</v>
      </c>
      <c r="F25" s="121" t="s">
        <v>409</v>
      </c>
      <c r="G25" s="122"/>
      <c r="H25" s="123"/>
      <c r="I25" s="124"/>
      <c r="J25" s="125">
        <f>ROUND(J23+J24,2)</f>
        <v>3608000</v>
      </c>
      <c r="K25" s="126"/>
      <c r="L25" s="126"/>
      <c r="M25" s="127"/>
    </row>
    <row r="26" spans="1:15">
      <c r="O26" s="44"/>
    </row>
    <row r="27" spans="1:15">
      <c r="K27" s="45" t="str">
        <f>RAB!$K$134</f>
        <v>Karanganyar,    Februari 2025</v>
      </c>
    </row>
    <row r="28" spans="1:15">
      <c r="K28" s="45" t="str">
        <f>RAB!$K$135</f>
        <v>PEJABAT PENANDATANGAN KONTRAK</v>
      </c>
    </row>
    <row r="29" spans="1:15">
      <c r="K29" s="45" t="str">
        <f>RAB!$K$136</f>
        <v>CAMAT JATEN</v>
      </c>
    </row>
    <row r="30" spans="1:15">
      <c r="K30" s="45"/>
    </row>
    <row r="31" spans="1:15">
      <c r="K31" s="45"/>
    </row>
    <row r="32" spans="1:15">
      <c r="K32" s="45"/>
    </row>
    <row r="33" spans="11:11">
      <c r="K33" s="45"/>
    </row>
    <row r="34" spans="11:11">
      <c r="K34" s="45"/>
    </row>
    <row r="35" spans="11:11">
      <c r="K35" s="45" t="str">
        <f>RAB!$K$142</f>
        <v>JULI PADMI HANDATANI, S.Sos., M.M</v>
      </c>
    </row>
    <row r="36" spans="11:11">
      <c r="K36" s="45" t="str">
        <f>RAB!$K$143</f>
        <v>NIP. 197407 15199503 2 004</v>
      </c>
    </row>
  </sheetData>
  <mergeCells count="4">
    <mergeCell ref="I4:I5"/>
    <mergeCell ref="J4:J5"/>
    <mergeCell ref="F5:H5"/>
    <mergeCell ref="A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1:P70"/>
  <sheetViews>
    <sheetView topLeftCell="A43" zoomScale="115" zoomScaleNormal="115" workbookViewId="0">
      <selection activeCell="G68" sqref="G68:G70"/>
    </sheetView>
  </sheetViews>
  <sheetFormatPr defaultColWidth="9.140625" defaultRowHeight="12.75"/>
  <cols>
    <col min="1" max="2" width="9.140625" style="1"/>
    <col min="3" max="3" width="16" style="1" bestFit="1" customWidth="1"/>
    <col min="4" max="6" width="9.140625" style="1"/>
    <col min="7" max="7" width="11.28515625" style="1" bestFit="1" customWidth="1"/>
    <col min="8" max="16384" width="9.140625" style="1"/>
  </cols>
  <sheetData>
    <row r="1" spans="2:16">
      <c r="B1" s="1" t="s">
        <v>321</v>
      </c>
    </row>
    <row r="2" spans="2:16">
      <c r="B2" s="2"/>
      <c r="C2" s="3">
        <f>REKAP!H40</f>
        <v>185921000</v>
      </c>
      <c r="D2" s="2" t="s">
        <v>322</v>
      </c>
      <c r="E2" s="2"/>
      <c r="F2" s="2"/>
      <c r="G2" s="2"/>
      <c r="H2" s="2"/>
      <c r="N2" s="1">
        <f>6.45</f>
        <v>6.45</v>
      </c>
      <c r="O2" s="1">
        <f>6.45</f>
        <v>6.45</v>
      </c>
      <c r="P2" s="1">
        <v>3.75</v>
      </c>
    </row>
    <row r="3" spans="2:16">
      <c r="B3" s="2"/>
      <c r="C3" s="2">
        <v>0</v>
      </c>
      <c r="D3" s="2" t="s">
        <v>323</v>
      </c>
      <c r="E3" s="2"/>
      <c r="F3" s="2"/>
      <c r="G3" s="2"/>
      <c r="H3" s="2"/>
      <c r="N3" s="1">
        <v>18</v>
      </c>
      <c r="O3" s="1">
        <v>12</v>
      </c>
      <c r="P3" s="1">
        <v>3</v>
      </c>
    </row>
    <row r="4" spans="2:16">
      <c r="B4" s="2"/>
      <c r="C4" s="2"/>
      <c r="D4" s="2" t="s">
        <v>324</v>
      </c>
      <c r="E4" s="2"/>
      <c r="F4" s="2"/>
      <c r="G4" s="2"/>
      <c r="H4" s="2"/>
      <c r="N4" s="1">
        <f>N2*N3</f>
        <v>116.10000000000001</v>
      </c>
      <c r="O4" s="1">
        <f t="shared" ref="O4:P4" si="0">O2*O3</f>
        <v>77.400000000000006</v>
      </c>
      <c r="P4" s="1">
        <f t="shared" si="0"/>
        <v>11.25</v>
      </c>
    </row>
    <row r="5" spans="2:16">
      <c r="B5" s="2"/>
      <c r="C5" s="2" t="str">
        <f>IF(C2&lt;0,"kurang ","")&amp;IF(C2=0,"nol",+C26&amp;C27&amp;D26&amp;D27)&amp;" "</f>
        <v xml:space="preserve">seratus delapan puluh lima juta sembilan ratus dua puluh satu ribu  </v>
      </c>
      <c r="D5" s="2"/>
      <c r="E5" s="2"/>
      <c r="F5" s="2"/>
      <c r="G5" s="2"/>
      <c r="H5" s="2"/>
    </row>
    <row r="6" spans="2:16">
      <c r="B6" s="2"/>
      <c r="C6" s="2" t="str">
        <f>UPPER(LEFT(C5,1))&amp;RIGHT(C5,LEN(C5)-1)</f>
        <v xml:space="preserve">Seratus delapan puluh lima juta sembilan ratus dua puluh satu ribu  </v>
      </c>
      <c r="D6" s="2"/>
      <c r="E6" s="2"/>
      <c r="F6" s="2"/>
      <c r="G6" s="2"/>
      <c r="H6" s="2"/>
      <c r="N6" s="1">
        <f>N4+O4</f>
        <v>193.5</v>
      </c>
    </row>
    <row r="7" spans="2:16">
      <c r="B7" s="2"/>
      <c r="C7" s="2" t="str">
        <f>IF(C2&lt;0,"-","")&amp;D13&amp;D11&amp;D12&amp;IF(AND(ABS(C2)&gt;1,ABS(C2)&lt;1000),LEFT(FIXED(TRUNC(ABS(C2)),0,TRUE),LEN(FIXED(TRUNC(ABS(C2)),0,TRUE))),"")&amp;IF(C2=TRUNC(C2),"","."&amp;RIGHT(FIXED(ROUND(C2,C3),C3,TRUE),C3))</f>
        <v>185,921,000</v>
      </c>
      <c r="D7" s="2" t="str">
        <f>"("&amp;C7&amp;")"</f>
        <v>(185,921,000)</v>
      </c>
      <c r="E7" s="2"/>
      <c r="F7" s="2"/>
      <c r="G7" s="2"/>
      <c r="H7" s="2"/>
      <c r="N7" s="1">
        <f>N6-P4</f>
        <v>182.25</v>
      </c>
    </row>
    <row r="8" spans="2:16">
      <c r="B8" s="2"/>
      <c r="C8" s="2" t="str">
        <f>C6&amp;D7</f>
        <v>Seratus delapan puluh lima juta sembilan ratus dua puluh satu ribu  (185,921,000)</v>
      </c>
      <c r="D8" s="2"/>
      <c r="E8" s="2"/>
      <c r="F8" s="2"/>
      <c r="G8" s="2"/>
      <c r="H8" s="2"/>
    </row>
    <row r="9" spans="2:16">
      <c r="B9" s="2"/>
      <c r="C9" s="2">
        <f>TRUNC(ABS(C2))</f>
        <v>185921000</v>
      </c>
      <c r="D9" s="2"/>
      <c r="E9" s="4">
        <f>ROUND(+ABS(C2)-C9,C3)</f>
        <v>0</v>
      </c>
      <c r="F9" s="2"/>
      <c r="G9" s="2"/>
      <c r="H9" s="2"/>
    </row>
    <row r="10" spans="2:16">
      <c r="B10" s="2"/>
      <c r="C10" s="2" t="str">
        <f>RIGHT(FIXED(E9,C3,TRUE),C3)</f>
        <v/>
      </c>
      <c r="D10" s="2"/>
      <c r="E10" s="2"/>
      <c r="F10" s="5" t="str">
        <f>""&amp;PROPER(C5)&amp;"Rupiah"</f>
        <v>Seratus Delapan Puluh Lima Juta Sembilan Ratus Dua Puluh Satu Ribu  Rupiah</v>
      </c>
      <c r="G10" s="6"/>
      <c r="H10" s="6"/>
      <c r="I10" s="7"/>
      <c r="J10" s="7"/>
      <c r="K10" s="7"/>
    </row>
    <row r="11" spans="2:16">
      <c r="B11" s="2"/>
      <c r="C11" s="2" t="str">
        <f>FIXED(10^C3,0,TRUE)</f>
        <v>1</v>
      </c>
      <c r="D11" s="2" t="str">
        <f>IF(AND(ABS(C2)&gt;1000000,ABS(C2)&lt;1000000000),LEFT(FIXED(TRUNC(ABS(C2)),0,TRUE),LEN(FIXED(TRUNC(ABS(C2)),0,TRUE))-6)&amp;","&amp;RIGHT(FIXED(TRUNC(ABS(C2/1000)),0,TRUE),3)&amp;","&amp;RIGHT(FIXED(TRUNC(ABS(C2)),0,TRUE),3),"")</f>
        <v>185,921,000</v>
      </c>
      <c r="E11" s="2"/>
      <c r="F11" s="2"/>
      <c r="G11" s="2"/>
      <c r="H11" s="2"/>
    </row>
    <row r="12" spans="2:16">
      <c r="B12" s="2"/>
      <c r="C12" s="2" t="str">
        <f>C10&amp;"/"&amp;C11</f>
        <v>/1</v>
      </c>
      <c r="D12" s="2" t="str">
        <f>IF(AND(ABS(C2)&gt;1000,ABS(C2)&lt;1000000),LEFT(FIXED(TRUNC(ABS(C2)),0,TRUE),LEN(FIXED(TRUNC(ABS(C2)),0,TRUE))-3)&amp;","&amp;RIGHT(FIXED(TRUNC(ABS(C2)),0,TRUE),3),"")</f>
        <v/>
      </c>
      <c r="E12" s="2"/>
      <c r="F12" s="2"/>
      <c r="G12" s="2"/>
      <c r="H12" s="2"/>
    </row>
    <row r="13" spans="2:16">
      <c r="B13" s="2"/>
      <c r="C13" s="2" t="str">
        <f>IF(OR(AND(T(C4)="b",E9=0),C3=0),"",IF(AND(E9=0,T(C4)="saja"),"saja",IF(C9&gt;0,"","")&amp;C12))</f>
        <v/>
      </c>
      <c r="D13" s="2" t="str">
        <f>IF(ABS(C2)&gt;1000000000,LEFT(FIXED(TRUNC(ABS(C2)),0,TRUE),LEN(FIXED(TRUNC(ABS(C2)),0,TRUE))-9)&amp;","&amp;RIGHT(FIXED(TRUNC(ABS(C2/1000000)),0,TRUE),3)&amp;","&amp;RIGHT(FIXED(TRUNC(ABS(C2/1000)),0,TRUE),3)&amp;","&amp;RIGHT(FIXED(TRUNC(ABS(C2)),0,TRUE),3),"")</f>
        <v/>
      </c>
      <c r="E13" s="2" t="s">
        <v>118</v>
      </c>
      <c r="F13" s="2" t="s">
        <v>325</v>
      </c>
      <c r="G13" s="2"/>
      <c r="H13" s="2"/>
    </row>
    <row r="14" spans="2:16">
      <c r="B14" s="2"/>
      <c r="C14" s="2">
        <f>TRUNC(C9/1000000000)</f>
        <v>0</v>
      </c>
      <c r="D14" s="2"/>
      <c r="E14" s="2">
        <f>C14-100*TRUNC(C14/100)</f>
        <v>0</v>
      </c>
      <c r="F14" s="2" t="s">
        <v>326</v>
      </c>
      <c r="G14" s="2" t="s">
        <v>327</v>
      </c>
      <c r="H14" s="2"/>
    </row>
    <row r="15" spans="2:16">
      <c r="B15" s="2"/>
      <c r="C15" s="2">
        <f>TRUNC(C9/1000000)-1000*C14</f>
        <v>185</v>
      </c>
      <c r="D15" s="2"/>
      <c r="E15" s="2">
        <f>C15-100*TRUNC(C15/100)</f>
        <v>85</v>
      </c>
      <c r="F15" s="2" t="s">
        <v>328</v>
      </c>
      <c r="G15" s="2" t="s">
        <v>329</v>
      </c>
      <c r="H15" s="2"/>
    </row>
    <row r="16" spans="2:16">
      <c r="B16" s="2"/>
      <c r="C16" s="2">
        <f>TRUNC(C9/1000)-1000*C15-1000000*C14</f>
        <v>921</v>
      </c>
      <c r="D16" s="2"/>
      <c r="E16" s="2">
        <f>C16-100*TRUNC(C16/100)</f>
        <v>21</v>
      </c>
      <c r="F16" s="2" t="s">
        <v>330</v>
      </c>
      <c r="G16" s="2" t="s">
        <v>331</v>
      </c>
      <c r="H16" s="2"/>
      <c r="I16" s="1">
        <f>+C15*1000</f>
        <v>185000</v>
      </c>
    </row>
    <row r="17" spans="2:9">
      <c r="B17" s="2"/>
      <c r="C17" s="2">
        <f>C9-1000*C16-1000000*C15-1000000000*C14</f>
        <v>0</v>
      </c>
      <c r="D17" s="2"/>
      <c r="E17" s="2">
        <f>C17-100*TRUNC(C17/100)</f>
        <v>0</v>
      </c>
      <c r="F17" s="2" t="s">
        <v>332</v>
      </c>
      <c r="G17" s="2" t="s">
        <v>333</v>
      </c>
      <c r="H17" s="2"/>
    </row>
    <row r="18" spans="2:9">
      <c r="B18" s="2"/>
      <c r="C18" s="2" t="str">
        <f>FIXED(C14,0,TRUE)</f>
        <v>0</v>
      </c>
      <c r="D18" s="2"/>
      <c r="E18" s="2">
        <f>E14-10*TRUNC(E14/10)</f>
        <v>0</v>
      </c>
      <c r="F18" s="2"/>
      <c r="G18" s="2"/>
      <c r="H18" s="2"/>
      <c r="I18" s="1">
        <f>TRUNC(C9/1000000,0)</f>
        <v>185</v>
      </c>
    </row>
    <row r="19" spans="2:9">
      <c r="B19" s="2"/>
      <c r="C19" s="2" t="str">
        <f>FIXED(C15,0,TRUE)</f>
        <v>185</v>
      </c>
      <c r="D19" s="2"/>
      <c r="E19" s="2">
        <f>E15-10*TRUNC(E15/10)</f>
        <v>5</v>
      </c>
      <c r="F19" s="2"/>
      <c r="G19" s="2"/>
      <c r="H19" s="2"/>
    </row>
    <row r="20" spans="2:9">
      <c r="B20" s="2"/>
      <c r="C20" s="2" t="str">
        <f>FIXED(C16,0,TRUE)</f>
        <v>921</v>
      </c>
      <c r="D20" s="2"/>
      <c r="E20" s="2">
        <f>E16-10*TRUNC(E16/10)</f>
        <v>1</v>
      </c>
      <c r="F20" s="2"/>
      <c r="G20" s="2"/>
      <c r="H20" s="2"/>
    </row>
    <row r="21" spans="2:9">
      <c r="B21" s="2"/>
      <c r="C21" s="2" t="str">
        <f>FIXED(C17,0,TRUE)</f>
        <v>0</v>
      </c>
      <c r="D21" s="2"/>
      <c r="E21" s="2">
        <f>E17-10*TRUNC(E17/10)</f>
        <v>0</v>
      </c>
      <c r="F21" s="2"/>
      <c r="G21" s="2"/>
      <c r="H21" s="2"/>
    </row>
    <row r="22" spans="2:9">
      <c r="B22" s="2"/>
      <c r="C22" s="2">
        <f>0.01*(C14-E18-E22)</f>
        <v>0</v>
      </c>
      <c r="D22" s="2"/>
      <c r="E22" s="2">
        <f>E14-E18</f>
        <v>0</v>
      </c>
      <c r="F22" s="2"/>
      <c r="G22" s="2"/>
      <c r="H22" s="2"/>
    </row>
    <row r="23" spans="2:9">
      <c r="B23" s="2"/>
      <c r="C23" s="2">
        <f>0.01*(C15-E19-E23)</f>
        <v>1</v>
      </c>
      <c r="D23" s="2"/>
      <c r="E23" s="2">
        <f>E15-E19</f>
        <v>80</v>
      </c>
      <c r="F23" s="2"/>
      <c r="G23" s="2"/>
      <c r="H23" s="2"/>
    </row>
    <row r="24" spans="2:9">
      <c r="B24" s="2"/>
      <c r="C24" s="2">
        <f>0.01*(C16-E20-E24)</f>
        <v>9</v>
      </c>
      <c r="D24" s="2"/>
      <c r="E24" s="2">
        <f>E16-E20</f>
        <v>20</v>
      </c>
      <c r="F24" s="2"/>
      <c r="G24" s="2"/>
      <c r="H24" s="2"/>
    </row>
    <row r="25" spans="2:9">
      <c r="B25" s="2"/>
      <c r="C25" s="2">
        <f>0.01*(C17-E21-E25)</f>
        <v>0</v>
      </c>
      <c r="D25" s="2"/>
      <c r="E25" s="2">
        <f>E17-E21</f>
        <v>0</v>
      </c>
      <c r="F25" s="2"/>
      <c r="G25" s="2"/>
      <c r="H25" s="2"/>
    </row>
    <row r="26" spans="2:9">
      <c r="B26" s="2"/>
      <c r="C26" s="2" t="str">
        <f>IF(C14&gt;0,IF(C14&gt;99,IF(C22=1,"seratus ",VLOOKUP(C22,$C28:$D55,2)&amp;" ratus "),"")&amp;IF(AND(E22&gt;10,E22&gt;0),VLOOKUP(E22,$C28:$D55,2),VLOOKUP(E22+E18,$C28:$D55,2))&amp;" "&amp;IF(AND(E22&gt;10,E18&gt;0),VLOOKUP(E18,$C28:$D55,2)&amp;" ","")&amp;"milyar ","")</f>
        <v/>
      </c>
      <c r="D26" s="2" t="str">
        <f>IF(C16&gt;0,IF(C16&gt;99,IF(C24=1,"seratus ",VLOOKUP(C24,$C28:$D55,2)&amp;" ratus "),"")&amp;IF(AND(E24&gt;10,E24&gt;0),VLOOKUP(E24,$C28:$D55,2),VLOOKUP(E24+E20,$C28:$D55,2))&amp;" "&amp;IF(AND(E24&gt;10,E20&gt;0),VLOOKUP(E20,$C28:$D55,2)&amp;" ","")&amp;"ribu ","")</f>
        <v xml:space="preserve">sembilan ratus dua puluh satu ribu </v>
      </c>
      <c r="E26" s="2"/>
      <c r="F26" s="2"/>
      <c r="G26" s="2"/>
      <c r="H26" s="2"/>
    </row>
    <row r="27" spans="2:9">
      <c r="B27" s="2">
        <v>1</v>
      </c>
      <c r="C27" s="2" t="str">
        <f>IF(C15&gt;0,IF(C15&gt;99,IF(C23=1,"seratus ",VLOOKUP(C23,$C28:$D55,2)&amp;" ratus "),"")&amp;IF(AND(E23&gt;10,E23&gt;0),VLOOKUP(E23,$C28:$D55,2),VLOOKUP(E23+E19,$C28:$D55,2))&amp;" "&amp;IF(AND(E23&gt;10,E19&gt;0),VLOOKUP(E19,$C28:$D55,2)&amp;" ","")&amp;"juta ","")</f>
        <v xml:space="preserve">seratus delapan puluh lima juta </v>
      </c>
      <c r="D27" s="2" t="str">
        <f>IF(C17&gt;0,IF(C17&gt;99,IF(C25=1,"seratus ",VLOOKUP(C25,$C28:$D55,2)&amp;" ratus "),"")&amp;IF(AND(E25&gt;10,E25&gt;0),VLOOKUP(E25,$C28:$D55,2),VLOOKUP(E25+E21,$C28:$D55,2))&amp;" "&amp;IF(AND(E25&gt;10,E21&gt;0),VLOOKUP(E21,$C28:$D55,2)&amp;" ",""),"")&amp;C13</f>
        <v/>
      </c>
      <c r="E27" s="2"/>
      <c r="F27" s="2"/>
      <c r="G27" s="2"/>
      <c r="H27" s="2"/>
    </row>
    <row r="28" spans="2:9">
      <c r="B28" s="2"/>
      <c r="C28" s="2">
        <v>0</v>
      </c>
      <c r="D28" s="2" t="s">
        <v>118</v>
      </c>
      <c r="E28" s="2"/>
      <c r="F28" s="2"/>
      <c r="G28" s="2"/>
      <c r="H28" s="2"/>
    </row>
    <row r="29" spans="2:9">
      <c r="B29" s="2"/>
      <c r="C29" s="2">
        <v>1</v>
      </c>
      <c r="D29" s="2" t="s">
        <v>334</v>
      </c>
      <c r="E29" s="2"/>
      <c r="F29" s="2"/>
      <c r="G29" s="2"/>
      <c r="H29" s="2"/>
    </row>
    <row r="30" spans="2:9">
      <c r="B30" s="2"/>
      <c r="C30" s="2">
        <v>2</v>
      </c>
      <c r="D30" s="2" t="s">
        <v>335</v>
      </c>
      <c r="E30" s="2"/>
      <c r="F30" s="2"/>
      <c r="G30" s="2"/>
      <c r="H30" s="2"/>
    </row>
    <row r="31" spans="2:9">
      <c r="B31" s="2"/>
      <c r="C31" s="2">
        <v>3</v>
      </c>
      <c r="D31" s="2" t="s">
        <v>336</v>
      </c>
      <c r="E31" s="2"/>
      <c r="F31" s="2"/>
      <c r="G31" s="2"/>
      <c r="H31" s="2"/>
    </row>
    <row r="32" spans="2:9">
      <c r="B32" s="2"/>
      <c r="C32" s="2">
        <v>4</v>
      </c>
      <c r="D32" s="2" t="s">
        <v>337</v>
      </c>
      <c r="E32" s="2"/>
      <c r="F32" s="2"/>
      <c r="G32" s="2"/>
      <c r="H32" s="2"/>
    </row>
    <row r="33" spans="2:8">
      <c r="B33" s="2"/>
      <c r="C33" s="2">
        <v>5</v>
      </c>
      <c r="D33" s="2" t="s">
        <v>338</v>
      </c>
      <c r="E33" s="2"/>
      <c r="F33" s="2"/>
      <c r="G33" s="2"/>
      <c r="H33" s="2"/>
    </row>
    <row r="34" spans="2:8">
      <c r="B34" s="2"/>
      <c r="C34" s="2">
        <v>6</v>
      </c>
      <c r="D34" s="2" t="s">
        <v>339</v>
      </c>
      <c r="E34" s="2"/>
      <c r="F34" s="2"/>
      <c r="G34" s="2"/>
      <c r="H34" s="2"/>
    </row>
    <row r="35" spans="2:8">
      <c r="B35" s="2"/>
      <c r="C35" s="2">
        <v>7</v>
      </c>
      <c r="D35" s="2" t="s">
        <v>340</v>
      </c>
      <c r="E35" s="2"/>
      <c r="F35" s="2"/>
      <c r="G35" s="2"/>
      <c r="H35" s="2"/>
    </row>
    <row r="36" spans="2:8">
      <c r="B36" s="2"/>
      <c r="C36" s="2">
        <v>8</v>
      </c>
      <c r="D36" s="2" t="s">
        <v>341</v>
      </c>
      <c r="E36" s="2"/>
      <c r="F36" s="2"/>
      <c r="G36" s="2"/>
      <c r="H36" s="2"/>
    </row>
    <row r="37" spans="2:8">
      <c r="B37" s="2"/>
      <c r="C37" s="2">
        <v>9</v>
      </c>
      <c r="D37" s="2" t="s">
        <v>342</v>
      </c>
      <c r="E37" s="2"/>
      <c r="F37" s="2"/>
      <c r="G37" s="2"/>
      <c r="H37" s="2"/>
    </row>
    <row r="38" spans="2:8">
      <c r="B38" s="2"/>
      <c r="C38" s="2">
        <v>10</v>
      </c>
      <c r="D38" s="2" t="s">
        <v>343</v>
      </c>
      <c r="E38" s="2"/>
      <c r="F38" s="2"/>
      <c r="G38" s="2"/>
      <c r="H38" s="2"/>
    </row>
    <row r="39" spans="2:8">
      <c r="B39" s="2"/>
      <c r="C39" s="2">
        <v>11</v>
      </c>
      <c r="D39" s="2" t="s">
        <v>344</v>
      </c>
      <c r="E39" s="2"/>
      <c r="F39" s="2"/>
      <c r="G39" s="2"/>
      <c r="H39" s="2"/>
    </row>
    <row r="40" spans="2:8">
      <c r="B40" s="2"/>
      <c r="C40" s="2">
        <v>12</v>
      </c>
      <c r="D40" s="2" t="s">
        <v>345</v>
      </c>
      <c r="E40" s="2"/>
      <c r="F40" s="2"/>
      <c r="G40" s="2"/>
      <c r="H40" s="2"/>
    </row>
    <row r="41" spans="2:8">
      <c r="B41" s="2"/>
      <c r="C41" s="2">
        <v>13</v>
      </c>
      <c r="D41" s="2" t="s">
        <v>346</v>
      </c>
      <c r="E41" s="2"/>
      <c r="F41" s="2"/>
      <c r="G41" s="2"/>
      <c r="H41" s="2"/>
    </row>
    <row r="42" spans="2:8">
      <c r="B42" s="2"/>
      <c r="C42" s="2">
        <v>14</v>
      </c>
      <c r="D42" s="2" t="s">
        <v>347</v>
      </c>
      <c r="E42" s="2"/>
      <c r="F42" s="2"/>
      <c r="G42" s="2"/>
      <c r="H42" s="2"/>
    </row>
    <row r="43" spans="2:8">
      <c r="B43" s="2"/>
      <c r="C43" s="2">
        <v>15</v>
      </c>
      <c r="D43" s="2" t="s">
        <v>348</v>
      </c>
      <c r="E43" s="2"/>
      <c r="F43" s="2"/>
      <c r="G43" s="2"/>
      <c r="H43" s="2"/>
    </row>
    <row r="44" spans="2:8">
      <c r="B44" s="2"/>
      <c r="C44" s="2">
        <v>16</v>
      </c>
      <c r="D44" s="2" t="s">
        <v>349</v>
      </c>
      <c r="E44" s="2"/>
      <c r="F44" s="2"/>
      <c r="G44" s="2"/>
      <c r="H44" s="2"/>
    </row>
    <row r="45" spans="2:8">
      <c r="B45" s="2"/>
      <c r="C45" s="2">
        <v>17</v>
      </c>
      <c r="D45" s="2" t="s">
        <v>350</v>
      </c>
      <c r="E45" s="2"/>
      <c r="F45" s="2"/>
      <c r="G45" s="2"/>
      <c r="H45" s="2"/>
    </row>
    <row r="46" spans="2:8">
      <c r="B46" s="2"/>
      <c r="C46" s="2">
        <v>18</v>
      </c>
      <c r="D46" s="2" t="s">
        <v>351</v>
      </c>
      <c r="E46" s="2"/>
      <c r="F46" s="2"/>
      <c r="G46" s="2"/>
      <c r="H46" s="2"/>
    </row>
    <row r="47" spans="2:8">
      <c r="B47" s="2"/>
      <c r="C47" s="2">
        <v>19</v>
      </c>
      <c r="D47" s="2" t="s">
        <v>352</v>
      </c>
      <c r="E47" s="2"/>
      <c r="F47" s="2"/>
      <c r="G47" s="2"/>
      <c r="H47" s="2"/>
    </row>
    <row r="48" spans="2:8">
      <c r="B48" s="2"/>
      <c r="C48" s="2">
        <v>20</v>
      </c>
      <c r="D48" s="2" t="s">
        <v>353</v>
      </c>
      <c r="E48" s="2"/>
      <c r="F48" s="2"/>
      <c r="G48" s="2"/>
      <c r="H48" s="2"/>
    </row>
    <row r="49" spans="2:8">
      <c r="B49" s="2"/>
      <c r="C49" s="2">
        <v>30</v>
      </c>
      <c r="D49" s="2" t="s">
        <v>354</v>
      </c>
      <c r="E49" s="2"/>
      <c r="F49" s="2"/>
      <c r="G49" s="2"/>
      <c r="H49" s="2"/>
    </row>
    <row r="50" spans="2:8">
      <c r="B50" s="2"/>
      <c r="C50" s="2">
        <v>40</v>
      </c>
      <c r="D50" s="2" t="s">
        <v>355</v>
      </c>
      <c r="E50" s="2"/>
      <c r="F50" s="2"/>
      <c r="G50" s="2"/>
      <c r="H50" s="2"/>
    </row>
    <row r="51" spans="2:8">
      <c r="B51" s="2"/>
      <c r="C51" s="2">
        <v>50</v>
      </c>
      <c r="D51" s="2" t="s">
        <v>356</v>
      </c>
      <c r="E51" s="2"/>
      <c r="F51" s="2"/>
      <c r="G51" s="2"/>
      <c r="H51" s="2"/>
    </row>
    <row r="52" spans="2:8">
      <c r="B52" s="2"/>
      <c r="C52" s="2">
        <v>60</v>
      </c>
      <c r="D52" s="2" t="s">
        <v>357</v>
      </c>
      <c r="E52" s="2"/>
      <c r="F52" s="2"/>
      <c r="G52" s="2"/>
      <c r="H52" s="2"/>
    </row>
    <row r="53" spans="2:8">
      <c r="B53" s="2"/>
      <c r="C53" s="2">
        <v>70</v>
      </c>
      <c r="D53" s="2" t="s">
        <v>358</v>
      </c>
      <c r="E53" s="2"/>
      <c r="F53" s="2"/>
      <c r="G53" s="2"/>
      <c r="H53" s="2"/>
    </row>
    <row r="54" spans="2:8">
      <c r="B54" s="2"/>
      <c r="C54" s="2">
        <v>80</v>
      </c>
      <c r="D54" s="2" t="s">
        <v>359</v>
      </c>
      <c r="E54" s="2"/>
      <c r="F54" s="2"/>
      <c r="G54" s="2"/>
      <c r="H54" s="2"/>
    </row>
    <row r="55" spans="2:8">
      <c r="B55" s="2"/>
      <c r="C55" s="2">
        <v>90</v>
      </c>
      <c r="D55" s="2" t="s">
        <v>360</v>
      </c>
      <c r="E55" s="2"/>
      <c r="F55" s="2"/>
      <c r="G55" s="2"/>
      <c r="H55" s="2"/>
    </row>
    <row r="56" spans="2:8">
      <c r="B56" s="2"/>
      <c r="C56" s="2" t="s">
        <v>361</v>
      </c>
      <c r="D56" s="2"/>
      <c r="E56" s="2"/>
      <c r="F56" s="2"/>
      <c r="G56" s="2"/>
      <c r="H56" s="2"/>
    </row>
    <row r="57" spans="2:8">
      <c r="B57" s="2"/>
      <c r="C57" s="2" t="s">
        <v>362</v>
      </c>
      <c r="D57" s="2"/>
      <c r="E57" s="2"/>
      <c r="F57" s="2"/>
      <c r="G57" s="2"/>
      <c r="H57" s="2"/>
    </row>
    <row r="58" spans="2:8">
      <c r="B58" s="2"/>
      <c r="C58" s="2"/>
      <c r="D58" s="2"/>
      <c r="E58" s="2"/>
      <c r="F58" s="2"/>
      <c r="G58" s="2"/>
      <c r="H58" s="2"/>
    </row>
    <row r="59" spans="2:8">
      <c r="B59" s="2"/>
      <c r="C59" s="2"/>
      <c r="D59" s="2"/>
      <c r="E59" s="2"/>
      <c r="F59" s="2"/>
      <c r="G59" s="2"/>
      <c r="H59" s="2"/>
    </row>
    <row r="60" spans="2:8">
      <c r="B60" s="2"/>
      <c r="C60" s="2"/>
      <c r="D60" s="2"/>
      <c r="E60" s="2"/>
      <c r="F60" s="2"/>
      <c r="G60" s="2"/>
      <c r="H60" s="2"/>
    </row>
    <row r="68" spans="7:7">
      <c r="G68" s="465"/>
    </row>
    <row r="69" spans="7:7">
      <c r="G69" s="466"/>
    </row>
    <row r="70" spans="7:7">
      <c r="G70" s="46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REKAP</vt:lpstr>
      <vt:lpstr>RAB</vt:lpstr>
      <vt:lpstr>HGR.SAT</vt:lpstr>
      <vt:lpstr>ANALISA</vt:lpstr>
      <vt:lpstr>UPH-TNG</vt:lpstr>
      <vt:lpstr>BACK UP VOLUME</vt:lpstr>
      <vt:lpstr>K-3</vt:lpstr>
      <vt:lpstr>huruf</vt:lpstr>
      <vt:lpstr>ANALISA!Print_Area</vt:lpstr>
      <vt:lpstr>RAB!Print_Area</vt:lpstr>
      <vt:lpstr>REKAP!Print_Area</vt:lpstr>
      <vt:lpstr>'UPH-TNG'!Print_Area</vt:lpstr>
      <vt:lpstr>RAB!Print_Titles</vt:lpstr>
      <vt:lpstr>'UPH-TNG'!Print_Titles</vt:lpstr>
    </vt:vector>
  </TitlesOfParts>
  <Company>solo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2024-02-27T06:06:27Z</cp:lastPrinted>
  <dcterms:created xsi:type="dcterms:W3CDTF">2009-05-18T08:14:15Z</dcterms:created>
  <dcterms:modified xsi:type="dcterms:W3CDTF">2025-04-01T05:31:42Z</dcterms:modified>
</cp:coreProperties>
</file>