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POK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6" i="1" l="1"/>
  <c r="E76" i="1"/>
  <c r="AJ75" i="1"/>
  <c r="AD75" i="1"/>
  <c r="F75" i="1"/>
  <c r="D75" i="1"/>
  <c r="AL74" i="1"/>
  <c r="AI74" i="1"/>
  <c r="AF74" i="1"/>
  <c r="AC74" i="1"/>
  <c r="Z74" i="1"/>
  <c r="W74" i="1"/>
  <c r="T74" i="1"/>
  <c r="Q74" i="1"/>
  <c r="N74" i="1"/>
  <c r="K74" i="1"/>
  <c r="H74" i="1"/>
  <c r="E74" i="1"/>
  <c r="AL73" i="1"/>
  <c r="Q73" i="1"/>
  <c r="R72" i="1" s="1"/>
  <c r="N73" i="1"/>
  <c r="E73" i="1"/>
  <c r="AD72" i="1"/>
  <c r="O72" i="1"/>
  <c r="J72" i="1"/>
  <c r="D72" i="1"/>
  <c r="K73" i="1" s="1"/>
  <c r="L72" i="1" s="1"/>
  <c r="AL71" i="1"/>
  <c r="AI71" i="1"/>
  <c r="AF71" i="1"/>
  <c r="AC71" i="1"/>
  <c r="Z71" i="1"/>
  <c r="W71" i="1"/>
  <c r="T71" i="1"/>
  <c r="Q71" i="1"/>
  <c r="N71" i="1"/>
  <c r="K71" i="1"/>
  <c r="H71" i="1"/>
  <c r="E71" i="1"/>
  <c r="T70" i="1"/>
  <c r="Q70" i="1"/>
  <c r="N70" i="1"/>
  <c r="K70" i="1"/>
  <c r="E70" i="1"/>
  <c r="AG69" i="1"/>
  <c r="R69" i="1"/>
  <c r="P69" i="1"/>
  <c r="O69" i="1"/>
  <c r="M69" i="1"/>
  <c r="L69" i="1"/>
  <c r="J69" i="1"/>
  <c r="F69" i="1"/>
  <c r="D69" i="1"/>
  <c r="AL68" i="1"/>
  <c r="AI68" i="1"/>
  <c r="AF68" i="1"/>
  <c r="AC68" i="1"/>
  <c r="Z68" i="1"/>
  <c r="W68" i="1"/>
  <c r="T68" i="1"/>
  <c r="Q68" i="1"/>
  <c r="N68" i="1"/>
  <c r="K68" i="1"/>
  <c r="H68" i="1"/>
  <c r="E68" i="1"/>
  <c r="AI67" i="1"/>
  <c r="E67" i="1"/>
  <c r="AG66" i="1"/>
  <c r="U66" i="1"/>
  <c r="T67" i="1" s="1"/>
  <c r="F66" i="1"/>
  <c r="D66" i="1"/>
  <c r="AL65" i="1"/>
  <c r="AI65" i="1"/>
  <c r="AF65" i="1"/>
  <c r="AC65" i="1"/>
  <c r="Z65" i="1"/>
  <c r="W65" i="1"/>
  <c r="T65" i="1"/>
  <c r="Q65" i="1"/>
  <c r="N65" i="1"/>
  <c r="K65" i="1"/>
  <c r="H65" i="1"/>
  <c r="E65" i="1"/>
  <c r="Q64" i="1"/>
  <c r="N64" i="1"/>
  <c r="K64" i="1"/>
  <c r="E64" i="1"/>
  <c r="AM63" i="1"/>
  <c r="U63" i="1"/>
  <c r="T64" i="1" s="1"/>
  <c r="S63" i="1"/>
  <c r="R63" i="1"/>
  <c r="P63" i="1"/>
  <c r="O63" i="1"/>
  <c r="M63" i="1"/>
  <c r="L63" i="1"/>
  <c r="J63" i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T61" i="1"/>
  <c r="U60" i="1" s="1"/>
  <c r="Q61" i="1"/>
  <c r="N61" i="1"/>
  <c r="E61" i="1"/>
  <c r="S60" i="1"/>
  <c r="R60" i="1"/>
  <c r="P60" i="1"/>
  <c r="M60" i="1"/>
  <c r="L60" i="1"/>
  <c r="J60" i="1"/>
  <c r="G60" i="1"/>
  <c r="F60" i="1"/>
  <c r="D60" i="1"/>
  <c r="K61" i="1" s="1"/>
  <c r="AL59" i="1"/>
  <c r="AI59" i="1"/>
  <c r="AF59" i="1"/>
  <c r="AC59" i="1"/>
  <c r="Z59" i="1"/>
  <c r="W59" i="1"/>
  <c r="T59" i="1"/>
  <c r="Q59" i="1"/>
  <c r="N59" i="1"/>
  <c r="K59" i="1"/>
  <c r="H59" i="1"/>
  <c r="E59" i="1"/>
  <c r="T58" i="1"/>
  <c r="Q58" i="1"/>
  <c r="R57" i="1" s="1"/>
  <c r="N58" i="1"/>
  <c r="E58" i="1"/>
  <c r="AM57" i="1"/>
  <c r="AJ57" i="1"/>
  <c r="AG57" i="1"/>
  <c r="S57" i="1"/>
  <c r="O57" i="1"/>
  <c r="L57" i="1"/>
  <c r="J57" i="1"/>
  <c r="G57" i="1"/>
  <c r="K58" i="1" s="1"/>
  <c r="F57" i="1"/>
  <c r="D57" i="1"/>
  <c r="H58" i="1" s="1"/>
  <c r="I57" i="1" s="1"/>
  <c r="AL56" i="1"/>
  <c r="AI56" i="1"/>
  <c r="AF56" i="1"/>
  <c r="AC56" i="1"/>
  <c r="Z56" i="1"/>
  <c r="W56" i="1"/>
  <c r="T56" i="1"/>
  <c r="Q56" i="1"/>
  <c r="N56" i="1"/>
  <c r="K56" i="1"/>
  <c r="H56" i="1"/>
  <c r="E56" i="1"/>
  <c r="N55" i="1"/>
  <c r="E55" i="1"/>
  <c r="AM54" i="1"/>
  <c r="AJ54" i="1"/>
  <c r="AD54" i="1"/>
  <c r="AA54" i="1"/>
  <c r="G54" i="1"/>
  <c r="K55" i="1" s="1"/>
  <c r="F54" i="1"/>
  <c r="D54" i="1"/>
  <c r="H55" i="1" s="1"/>
  <c r="I54" i="1" s="1"/>
  <c r="AL53" i="1"/>
  <c r="AI53" i="1"/>
  <c r="AF53" i="1"/>
  <c r="AC53" i="1"/>
  <c r="Z53" i="1"/>
  <c r="W53" i="1"/>
  <c r="T53" i="1"/>
  <c r="Q53" i="1"/>
  <c r="N53" i="1"/>
  <c r="K53" i="1"/>
  <c r="H53" i="1"/>
  <c r="E53" i="1"/>
  <c r="T52" i="1"/>
  <c r="E52" i="1"/>
  <c r="AM51" i="1"/>
  <c r="AJ51" i="1"/>
  <c r="AD51" i="1"/>
  <c r="F51" i="1"/>
  <c r="D51" i="1"/>
  <c r="AL50" i="1"/>
  <c r="AI50" i="1"/>
  <c r="AF50" i="1"/>
  <c r="AC50" i="1"/>
  <c r="Z50" i="1"/>
  <c r="W50" i="1"/>
  <c r="T50" i="1"/>
  <c r="Q50" i="1"/>
  <c r="N50" i="1"/>
  <c r="K50" i="1"/>
  <c r="H50" i="1"/>
  <c r="E50" i="1"/>
  <c r="T49" i="1"/>
  <c r="Q49" i="1"/>
  <c r="R48" i="1" s="1"/>
  <c r="N49" i="1"/>
  <c r="O48" i="1" s="1"/>
  <c r="E49" i="1"/>
  <c r="AM48" i="1"/>
  <c r="AJ48" i="1"/>
  <c r="AD48" i="1"/>
  <c r="U48" i="1"/>
  <c r="S48" i="1"/>
  <c r="P48" i="1"/>
  <c r="J48" i="1"/>
  <c r="G48" i="1"/>
  <c r="F48" i="1"/>
  <c r="D48" i="1"/>
  <c r="K49" i="1" s="1"/>
  <c r="L48" i="1" s="1"/>
  <c r="AL47" i="1"/>
  <c r="AI47" i="1"/>
  <c r="AF47" i="1"/>
  <c r="AC47" i="1"/>
  <c r="Z47" i="1"/>
  <c r="W47" i="1"/>
  <c r="T47" i="1"/>
  <c r="Q47" i="1"/>
  <c r="N47" i="1"/>
  <c r="K47" i="1"/>
  <c r="H47" i="1"/>
  <c r="E47" i="1"/>
  <c r="T46" i="1"/>
  <c r="Q46" i="1"/>
  <c r="R45" i="1" s="1"/>
  <c r="N46" i="1"/>
  <c r="K46" i="1"/>
  <c r="H46" i="1"/>
  <c r="E46" i="1"/>
  <c r="AM45" i="1"/>
  <c r="AJ45" i="1"/>
  <c r="AD45" i="1"/>
  <c r="AA45" i="1"/>
  <c r="U45" i="1"/>
  <c r="S45" i="1"/>
  <c r="P45" i="1"/>
  <c r="O45" i="1"/>
  <c r="L45" i="1"/>
  <c r="J45" i="1"/>
  <c r="I45" i="1"/>
  <c r="G45" i="1"/>
  <c r="F45" i="1"/>
  <c r="D45" i="1"/>
  <c r="AL44" i="1"/>
  <c r="AI44" i="1"/>
  <c r="AF44" i="1"/>
  <c r="AC44" i="1"/>
  <c r="Z44" i="1"/>
  <c r="W44" i="1"/>
  <c r="T44" i="1"/>
  <c r="Q44" i="1"/>
  <c r="N44" i="1"/>
  <c r="K44" i="1"/>
  <c r="H44" i="1"/>
  <c r="E44" i="1"/>
  <c r="T43" i="1"/>
  <c r="U42" i="1" s="1"/>
  <c r="Q43" i="1"/>
  <c r="R42" i="1" s="1"/>
  <c r="N43" i="1"/>
  <c r="E43" i="1"/>
  <c r="S42" i="1"/>
  <c r="P42" i="1"/>
  <c r="O42" i="1"/>
  <c r="J42" i="1"/>
  <c r="G42" i="1"/>
  <c r="F42" i="1"/>
  <c r="D42" i="1"/>
  <c r="K43" i="1" s="1"/>
  <c r="L42" i="1" s="1"/>
  <c r="AL41" i="1"/>
  <c r="AI41" i="1"/>
  <c r="AF41" i="1"/>
  <c r="AC41" i="1"/>
  <c r="Z41" i="1"/>
  <c r="W41" i="1"/>
  <c r="T41" i="1"/>
  <c r="Q41" i="1"/>
  <c r="N41" i="1"/>
  <c r="K41" i="1"/>
  <c r="H41" i="1"/>
  <c r="E41" i="1"/>
  <c r="T40" i="1"/>
  <c r="U39" i="1" s="1"/>
  <c r="Q40" i="1"/>
  <c r="N40" i="1"/>
  <c r="K40" i="1"/>
  <c r="L39" i="1" s="1"/>
  <c r="E40" i="1"/>
  <c r="AM39" i="1"/>
  <c r="AJ39" i="1"/>
  <c r="AA39" i="1"/>
  <c r="R39" i="1"/>
  <c r="P39" i="1"/>
  <c r="O39" i="1"/>
  <c r="J39" i="1"/>
  <c r="G39" i="1"/>
  <c r="H40" i="1" s="1"/>
  <c r="I39" i="1" s="1"/>
  <c r="F39" i="1"/>
  <c r="D39" i="1"/>
  <c r="AL38" i="1"/>
  <c r="AI38" i="1"/>
  <c r="AF38" i="1"/>
  <c r="AC38" i="1"/>
  <c r="Z38" i="1"/>
  <c r="W38" i="1"/>
  <c r="T38" i="1"/>
  <c r="Q38" i="1"/>
  <c r="N38" i="1"/>
  <c r="K38" i="1"/>
  <c r="H38" i="1"/>
  <c r="E38" i="1"/>
  <c r="T37" i="1"/>
  <c r="Q37" i="1"/>
  <c r="R36" i="1" s="1"/>
  <c r="N37" i="1"/>
  <c r="E37" i="1"/>
  <c r="AM36" i="1"/>
  <c r="AK36" i="1"/>
  <c r="AD36" i="1"/>
  <c r="U36" i="1"/>
  <c r="S36" i="1"/>
  <c r="P36" i="1"/>
  <c r="O36" i="1"/>
  <c r="J36" i="1"/>
  <c r="G36" i="1"/>
  <c r="H37" i="1" s="1"/>
  <c r="I36" i="1" s="1"/>
  <c r="D36" i="1"/>
  <c r="K37" i="1" s="1"/>
  <c r="L36" i="1" s="1"/>
  <c r="AL35" i="1"/>
  <c r="AI35" i="1"/>
  <c r="AF35" i="1"/>
  <c r="AC35" i="1"/>
  <c r="Z35" i="1"/>
  <c r="W35" i="1"/>
  <c r="T35" i="1"/>
  <c r="Q35" i="1"/>
  <c r="N35" i="1"/>
  <c r="K35" i="1"/>
  <c r="H35" i="1"/>
  <c r="E35" i="1"/>
  <c r="Q34" i="1"/>
  <c r="N34" i="1"/>
  <c r="O33" i="1" s="1"/>
  <c r="R33" i="1" s="1"/>
  <c r="K34" i="1"/>
  <c r="L33" i="1" s="1"/>
  <c r="AJ33" i="1"/>
  <c r="P33" i="1"/>
  <c r="J33" i="1"/>
  <c r="G33" i="1"/>
  <c r="F33" i="1"/>
  <c r="D33" i="1"/>
  <c r="H34" i="1" s="1"/>
  <c r="I33" i="1" s="1"/>
  <c r="AL32" i="1"/>
  <c r="AI32" i="1"/>
  <c r="AF32" i="1"/>
  <c r="AC32" i="1"/>
  <c r="Z32" i="1"/>
  <c r="W32" i="1"/>
  <c r="T32" i="1"/>
  <c r="Q32" i="1"/>
  <c r="N32" i="1"/>
  <c r="K32" i="1"/>
  <c r="H32" i="1"/>
  <c r="E32" i="1"/>
  <c r="T31" i="1"/>
  <c r="U30" i="1" s="1"/>
  <c r="Q31" i="1"/>
  <c r="N31" i="1"/>
  <c r="AM30" i="1"/>
  <c r="S30" i="1"/>
  <c r="R30" i="1"/>
  <c r="O30" i="1"/>
  <c r="J30" i="1"/>
  <c r="F30" i="1"/>
  <c r="D30" i="1"/>
  <c r="K31" i="1" s="1"/>
  <c r="L30" i="1" s="1"/>
  <c r="AL29" i="1"/>
  <c r="AI29" i="1"/>
  <c r="AF29" i="1"/>
  <c r="AC29" i="1"/>
  <c r="Z29" i="1"/>
  <c r="W29" i="1"/>
  <c r="T29" i="1"/>
  <c r="Q29" i="1"/>
  <c r="N29" i="1"/>
  <c r="K29" i="1"/>
  <c r="H29" i="1"/>
  <c r="E29" i="1"/>
  <c r="T28" i="1"/>
  <c r="Q28" i="1"/>
  <c r="N28" i="1"/>
  <c r="E28" i="1"/>
  <c r="AJ27" i="1"/>
  <c r="U27" i="1"/>
  <c r="S27" i="1"/>
  <c r="R27" i="1"/>
  <c r="P27" i="1"/>
  <c r="O27" i="1"/>
  <c r="J27" i="1"/>
  <c r="G27" i="1"/>
  <c r="K28" i="1" s="1"/>
  <c r="L27" i="1" s="1"/>
  <c r="F27" i="1"/>
  <c r="D27" i="1"/>
  <c r="H28" i="1" s="1"/>
  <c r="I27" i="1" s="1"/>
  <c r="AL26" i="1"/>
  <c r="AI26" i="1"/>
  <c r="AF26" i="1"/>
  <c r="AC26" i="1"/>
  <c r="Z26" i="1"/>
  <c r="W26" i="1"/>
  <c r="T26" i="1"/>
  <c r="Q26" i="1"/>
  <c r="N26" i="1"/>
  <c r="K26" i="1"/>
  <c r="H26" i="1"/>
  <c r="E26" i="1"/>
  <c r="Q25" i="1"/>
  <c r="N25" i="1"/>
  <c r="R24" i="1"/>
  <c r="P24" i="1"/>
  <c r="O24" i="1"/>
  <c r="J24" i="1"/>
  <c r="G24" i="1"/>
  <c r="K25" i="1" s="1"/>
  <c r="L24" i="1" s="1"/>
  <c r="F24" i="1"/>
  <c r="D24" i="1"/>
  <c r="H25" i="1" s="1"/>
  <c r="I24" i="1" s="1"/>
  <c r="AL23" i="1"/>
  <c r="AI23" i="1"/>
  <c r="AF23" i="1"/>
  <c r="AC23" i="1"/>
  <c r="Z23" i="1"/>
  <c r="W23" i="1"/>
  <c r="T23" i="1"/>
  <c r="Q23" i="1"/>
  <c r="N23" i="1"/>
  <c r="K23" i="1"/>
  <c r="H23" i="1"/>
  <c r="E23" i="1"/>
  <c r="Q22" i="1"/>
  <c r="N22" i="1"/>
  <c r="O21" i="1" s="1"/>
  <c r="R21" i="1"/>
  <c r="P21" i="1"/>
  <c r="J21" i="1"/>
  <c r="G21" i="1"/>
  <c r="F21" i="1"/>
  <c r="D21" i="1"/>
  <c r="K22" i="1" s="1"/>
  <c r="L21" i="1" s="1"/>
  <c r="AL20" i="1"/>
  <c r="AI20" i="1"/>
  <c r="AF20" i="1"/>
  <c r="AC20" i="1"/>
  <c r="Z20" i="1"/>
  <c r="W20" i="1"/>
  <c r="T20" i="1"/>
  <c r="Q20" i="1"/>
  <c r="N20" i="1"/>
  <c r="K20" i="1"/>
  <c r="H20" i="1"/>
  <c r="E20" i="1"/>
  <c r="T19" i="1"/>
  <c r="U18" i="1" s="1"/>
  <c r="Q19" i="1"/>
  <c r="N19" i="1"/>
  <c r="H19" i="1"/>
  <c r="I18" i="1" s="1"/>
  <c r="S18" i="1"/>
  <c r="R18" i="1"/>
  <c r="P18" i="1"/>
  <c r="O18" i="1"/>
  <c r="M18" i="1"/>
  <c r="J18" i="1"/>
  <c r="G18" i="1"/>
  <c r="K19" i="1" s="1"/>
  <c r="L18" i="1" s="1"/>
  <c r="D18" i="1"/>
  <c r="E19" i="1" s="1"/>
  <c r="F18" i="1" s="1"/>
  <c r="AL17" i="1"/>
  <c r="AI17" i="1"/>
  <c r="AF17" i="1"/>
  <c r="AC17" i="1"/>
  <c r="Z17" i="1"/>
  <c r="W17" i="1"/>
  <c r="T17" i="1"/>
  <c r="Q17" i="1"/>
  <c r="N17" i="1"/>
  <c r="K17" i="1"/>
  <c r="H17" i="1"/>
  <c r="E17" i="1"/>
  <c r="Q16" i="1"/>
  <c r="N16" i="1"/>
  <c r="H16" i="1"/>
  <c r="E16" i="1"/>
  <c r="R15" i="1"/>
  <c r="P15" i="1"/>
  <c r="O15" i="1"/>
  <c r="M15" i="1"/>
  <c r="I15" i="1"/>
  <c r="G15" i="1"/>
  <c r="F15" i="1"/>
  <c r="D15" i="1"/>
  <c r="AI14" i="1"/>
  <c r="AF14" i="1"/>
  <c r="AC14" i="1"/>
  <c r="Z14" i="1"/>
  <c r="W14" i="1"/>
  <c r="Q14" i="1"/>
  <c r="N14" i="1"/>
  <c r="K14" i="1"/>
  <c r="H14" i="1"/>
  <c r="E14" i="1"/>
  <c r="H13" i="1"/>
  <c r="E13" i="1"/>
  <c r="AA12" i="1"/>
  <c r="P12" i="1"/>
  <c r="Q13" i="1" s="1"/>
  <c r="O12" i="1"/>
  <c r="G12" i="1"/>
  <c r="D12" i="1"/>
  <c r="AL11" i="1"/>
  <c r="AI11" i="1"/>
  <c r="AF11" i="1"/>
  <c r="AC11" i="1"/>
  <c r="Z11" i="1"/>
  <c r="W11" i="1"/>
  <c r="T11" i="1"/>
  <c r="Q11" i="1"/>
  <c r="N11" i="1"/>
  <c r="K11" i="1"/>
  <c r="H11" i="1"/>
  <c r="E11" i="1"/>
  <c r="R12" i="1" l="1"/>
  <c r="U12" i="1" s="1"/>
  <c r="T13" i="1"/>
  <c r="H61" i="1"/>
  <c r="I60" i="1" s="1"/>
  <c r="H22" i="1"/>
  <c r="I21" i="1" s="1"/>
  <c r="H43" i="1"/>
  <c r="I42" i="1" s="1"/>
  <c r="H49" i="1"/>
  <c r="I48" i="1" s="1"/>
  <c r="H67" i="1" l="1"/>
  <c r="H64" i="1"/>
  <c r="I69" i="1"/>
  <c r="G69" i="1"/>
  <c r="G63" i="1"/>
  <c r="H70" i="1"/>
  <c r="I63" i="1"/>
  <c r="I66" i="1"/>
  <c r="G66" i="1"/>
</calcChain>
</file>

<file path=xl/sharedStrings.xml><?xml version="1.0" encoding="utf-8"?>
<sst xmlns="http://schemas.openxmlformats.org/spreadsheetml/2006/main" count="57" uniqueCount="54">
  <si>
    <t>REALISASI PERKEMBANGAN PELAKSANAAN PEKERJAAN / KEGIATAN</t>
  </si>
  <si>
    <t>TAHUN ANGGARAN 2021 DI KABUPATEN KARANGANYAR</t>
  </si>
  <si>
    <t>SKPD</t>
  </si>
  <si>
    <t>:</t>
  </si>
  <si>
    <t>KECAMATAN NGARGOYOSO</t>
  </si>
  <si>
    <t>SUMBER DANA</t>
  </si>
  <si>
    <t>APBD</t>
  </si>
  <si>
    <t>BULAN</t>
  </si>
  <si>
    <t>JUNI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</si>
  <si>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</si>
  <si>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</si>
  <si>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</si>
  <si>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</si>
  <si>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</si>
  <si>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</si>
  <si>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</si>
  <si>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JANUARI</t>
  </si>
  <si>
    <t>PEBRUARI</t>
  </si>
  <si>
    <t>MARET</t>
  </si>
  <si>
    <t>APRIL</t>
  </si>
  <si>
    <t>MEI</t>
  </si>
  <si>
    <t>JULI</t>
  </si>
  <si>
    <t>AGUSTUS</t>
  </si>
  <si>
    <t>SEPTEMBER</t>
  </si>
  <si>
    <t>OKTOBER</t>
  </si>
  <si>
    <t>NOPEMBER</t>
  </si>
  <si>
    <t>DESEMBER</t>
  </si>
  <si>
    <t>b. KONTRAK</t>
  </si>
  <si>
    <t>7.01.01.1.2.01.1  Penyusunan dokumen perencanaan Perangkat daerah</t>
  </si>
  <si>
    <t>7.01.01.1.2.01.7 Evaluasi Kinerja perangkat Daerah</t>
  </si>
  <si>
    <t>7.01.01.1.2.02.1penyediaan gaji dan Tunjangan ASN</t>
  </si>
  <si>
    <t>7.01.01.1.2.06.1 penyediaan Komponen Instalasi Listri/penerangan bangunan kantor</t>
  </si>
  <si>
    <t>7.01.01.2.06.02 penyediaan peralatan dan perlengkapan kantor</t>
  </si>
  <si>
    <t>7.01.01.2.06.04 penyediaan bahan logistik kantor</t>
  </si>
  <si>
    <t>7.01.01.2.06.05 Penyediaan barang cetakan dan penggandaan</t>
  </si>
  <si>
    <t>7.01.01.2.06.07 penyediaan bahan/material</t>
  </si>
  <si>
    <t>7.01.01.2.06.09 Penyelenggaraan rapat koordinasi dan Konsultasi SKPD</t>
  </si>
  <si>
    <t>7.01.01.2.08.01 Penyediaan jasa surat menyurat</t>
  </si>
  <si>
    <t>7.01.01.2.08.02 Penyediaan jasa komunikasi,Sumber Daya air dan listrik</t>
  </si>
  <si>
    <t>7.01.01.2.08.04  Penyediaan Jasa Pelayanan umum Kantor</t>
  </si>
  <si>
    <t>7.01.01.2.09.01 Penyediaaan jasa pemelioharaan,Biaya pemeliharaan dan pajak kendaraan perorangan dinas atau kendaaraan dinas jabatan</t>
  </si>
  <si>
    <t>7.01.02.2.02.02  Fasilitasi percepatn pencap[aian stndar pelayanan minimal di wilayah kec.</t>
  </si>
  <si>
    <t>0</t>
  </si>
  <si>
    <t xml:space="preserve">7.01.03.2.01.01 Peningkatan partisipasi masyarakat dalam forum musyawarah perencanaan pembangunan de desa </t>
  </si>
  <si>
    <t xml:space="preserve">7.01.03.2.03.01 Penyelenggraan lembaga Kemasyarakatan </t>
  </si>
  <si>
    <t>7.01.04.2.01.01 Sinergitas dgn Kepolisian Negara RI,TNI dan Instansi Vertikal di wil Kec.</t>
  </si>
  <si>
    <t>7.01.05.2.01.01Pembinaan Wawasan Kebangsaan dan Ketahanan Nasional dlm rangka Memantapkan Pengamalan Pancasila,pelak undang-undang Dasar Negara RI th 1945,Pelestarian Bhenika Tunggak Ika serta Pemertahanan dan Pemeliharaan keutuhan Negara</t>
  </si>
  <si>
    <t>7.01.05.2.01.04 Pembinaan Kerukunan Antarsuku,umat beragama,ras  ,dan  gol lainnya guna mewujudkan stabilitas Keamanan lokal,Regional, dan nasional</t>
  </si>
  <si>
    <t>7.01.05.2.01.07 Pelaksanaan semua Urusan Pemerintahan yg bukan merupakan Kewenangan Daerah dan tdk dilak oleh instansi vertikal</t>
  </si>
  <si>
    <t xml:space="preserve">7.01.06.2.01.02 Fasilitasi administrasi Tata Pemerintahan Desa </t>
  </si>
  <si>
    <t>7.01.06.2.01.08 Rekomendasi Pengangkatan dan Pemberhentian Perangkat Desa</t>
  </si>
  <si>
    <t>Ngargoyoso,  06 Juli 2022</t>
  </si>
  <si>
    <t>CAMAT NGARGOYOSO</t>
  </si>
  <si>
    <t>WAHYU AGUS PRAMONO, S.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</si>
</sst>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_);\(#,##0.0\)"/>
    <numFmt numFmtId="165" formatCode="0_);\(0\)"/>
    <numFmt numFmtId="166" formatCode="0.0_);\(0.0\)"/>
    <numFmt numFmtId="168" formatCode="0.0"/>
    <numFmt numFmtId="170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37" fontId="0" fillId="0" borderId="5" xfId="0" applyNumberFormat="1" applyBorder="1" applyAlignment="1">
      <alignment horizontal="right" vertical="center" wrapText="1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37" fontId="0" fillId="0" borderId="16" xfId="0" applyNumberFormat="1" applyBorder="1" applyAlignment="1">
      <alignment horizontal="right" vertical="center" wrapText="1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7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0" fontId="0" fillId="0" borderId="5" xfId="0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3" fontId="4" fillId="0" borderId="0" xfId="0" applyNumberFormat="1" applyFont="1"/>
    <xf numFmtId="164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0" xfId="0" applyNumberFormat="1" applyAlignment="1">
      <alignment horizontal="center"/>
    </xf>
    <xf numFmtId="37" fontId="0" fillId="0" borderId="15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168" fontId="0" fillId="0" borderId="14" xfId="2" applyNumberFormat="1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0" fontId="0" fillId="0" borderId="15" xfId="1" quotePrefix="1" applyNumberFormat="1" applyFont="1" applyBorder="1" applyAlignment="1">
      <alignment horizontal="center"/>
    </xf>
    <xf numFmtId="170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15" xfId="0" applyNumberForma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7" fontId="0" fillId="0" borderId="17" xfId="0" applyNumberForma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8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8" fontId="0" fillId="2" borderId="6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168" fontId="0" fillId="2" borderId="8" xfId="0" applyNumberForma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5" xfId="0" applyFill="1" applyBorder="1" applyAlignment="1">
      <alignment horizontal="center" vertical="center" wrapText="1"/>
    </xf>
    <xf numFmtId="37" fontId="0" fillId="2" borderId="5" xfId="0" applyNumberFormat="1" applyFill="1" applyBorder="1" applyAlignment="1">
      <alignment vertical="center" wrapText="1"/>
    </xf>
    <xf numFmtId="164" fontId="0" fillId="2" borderId="14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168" fontId="0" fillId="2" borderId="1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68" fontId="0" fillId="2" borderId="15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 vertical="center" wrapText="1"/>
    </xf>
    <xf numFmtId="37" fontId="0" fillId="2" borderId="16" xfId="0" applyNumberFormat="1" applyFill="1" applyBorder="1" applyAlignment="1">
      <alignment vertical="center" wrapText="1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18" xfId="0" applyNumberFormat="1" applyFill="1" applyBorder="1" applyAlignment="1">
      <alignment horizontal="center"/>
    </xf>
    <xf numFmtId="168" fontId="0" fillId="2" borderId="19" xfId="0" applyNumberForma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057525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057525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0480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048000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048000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048000" y="3648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048000" y="4219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=""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048000" y="7077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0575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=""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048000" y="3657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=""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048000" y="42291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=""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048000" y="7086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238625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248150" y="1914525"/>
          <a:ext cx="12763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238625" y="2505075"/>
          <a:ext cx="1285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23862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=""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238625" y="3067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=""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238625" y="3648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=""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238625" y="4219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=""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238625" y="7077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=""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248150" y="3067050"/>
          <a:ext cx="12763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=""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238625" y="3657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=""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238625" y="42291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=""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238625" y="7086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=""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53402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53402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=""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52450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=""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52450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=""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524500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=""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52450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=""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52450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=""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52450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=""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534025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52450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=""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52450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=""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52450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=""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683895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=""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683895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=""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682942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=""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68294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=""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68294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=""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6829425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6829425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=""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6829425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=""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6838950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=""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6829425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=""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6829425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=""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6829425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=""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08672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=""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08672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=""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07720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=""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07720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=""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07720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=""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077200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=""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077200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=""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077200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=""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086725" y="3067050"/>
          <a:ext cx="12573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=""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077200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=""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077200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=""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077200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=""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353550" y="1924050"/>
          <a:ext cx="12287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=""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353550" y="1914525"/>
          <a:ext cx="12192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=""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344025" y="2505075"/>
          <a:ext cx="12287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=""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34402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=""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344025" y="3067050"/>
          <a:ext cx="11334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=""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344025" y="3648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=""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344025" y="4219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=""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344025" y="7077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=""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353550" y="3067050"/>
          <a:ext cx="12192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=""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344025" y="3657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=""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344025" y="42291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=""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344025" y="7086600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=""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582275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=""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582275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=""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57275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=""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572750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=""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572750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=""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572750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=""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572750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=""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572750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=""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582275" y="3067050"/>
          <a:ext cx="11715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=""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572750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=""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572750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=""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572750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=""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1763375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=""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1763375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=""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1725275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=""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17538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=""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1753850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=""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1753850" y="3648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=""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1753850" y="4219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=""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1753850" y="7077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=""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1763375" y="3067050"/>
          <a:ext cx="12001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=""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1753850" y="3657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=""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1753850" y="42291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=""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1753850" y="708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=""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2973050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=""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2973050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=""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2963525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=""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2963525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=""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2963525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=""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2963525" y="3648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=""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2963525" y="4219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=""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2963525" y="7077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=""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2973050" y="3067050"/>
          <a:ext cx="12096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=""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2963525" y="3657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=""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2963525" y="42291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=""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2963525" y="7086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=""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192250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=""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19225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=""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18272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=""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1827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=""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182725" y="3067050"/>
          <a:ext cx="11811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=""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182725" y="3648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=""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182725" y="4219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=""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182725" y="7077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=""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192250" y="3067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=""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182725" y="3657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=""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182725" y="42291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=""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182725" y="708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=""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440025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=""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440025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=""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430500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=""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430500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=""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430500" y="3067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=""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430500" y="3648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=""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430500" y="4219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=""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430500" y="7077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=""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440025" y="3067050"/>
          <a:ext cx="11525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=""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430500" y="3657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=""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430500" y="42291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=""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430500" y="708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=""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602075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=""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602075" y="1914525"/>
          <a:ext cx="12858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=""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592550" y="2505075"/>
          <a:ext cx="12954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=""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5925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=""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592550" y="3067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=""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592550" y="3648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=""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592550" y="4219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=""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592550" y="7077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=""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602075" y="3067050"/>
          <a:ext cx="128587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=""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592550" y="3657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=""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592550" y="42291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=""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592550" y="708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=""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048000" y="5934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=""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238625" y="5934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=""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524500" y="5934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=""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6829425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=""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077200" y="5934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=""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048000" y="6505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=""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238625" y="6505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=""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52450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=""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6829425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=""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077200" y="6505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=""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344025" y="5934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=""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572750" y="5934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=""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344025" y="6505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=""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572750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=""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1753850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=""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1753850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=""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2963525" y="5934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=""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2963525" y="6505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=""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182725" y="5934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=""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430500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=""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592550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=""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592550" y="6505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=""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430500" y="6505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=""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182725" y="6505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=""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182725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=""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2963525" y="5934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=""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2963525" y="6505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=""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182725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=""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430500" y="6505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=""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592550" y="6505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=""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1753850" y="6505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=""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572750" y="6505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=""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572750" y="5934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=""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344025" y="593407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=""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344025" y="650557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=""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1753850" y="5934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=""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077200" y="5934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=""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6829425" y="5934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=""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6829425" y="6505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=""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524500" y="5934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=""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524500" y="6505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=""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238625" y="5934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=""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238625" y="6505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=""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048000" y="5934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=""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048000" y="6505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=""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=""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=""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=""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048000" y="123920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=""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238625" y="123920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=""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524500" y="123920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=""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6829425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=""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=""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=""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077200" y="123920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=""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001000" y="6505575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=""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048000" y="118205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=""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524500" y="118205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=""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238625" y="118205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=""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68294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=""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077200" y="118205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=""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048000" y="123920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=""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238625" y="123920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=""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524500" y="123920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=""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6829425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=""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077200" y="123920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=""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344025" y="123920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=""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572750" y="123920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=""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=""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572750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=""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1753850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=""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1753850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=""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2963525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=""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1827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=""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430500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=""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592550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=""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592550" y="123920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=""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430500" y="123920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=""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182725" y="123920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=""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2963525" y="123920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=""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430500" y="5934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=""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592550" y="5934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=""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344025" y="118205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=""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572750" y="118205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=""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1753850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=""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2963525" y="118205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=""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182725" y="118205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=""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430500" y="118205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=""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592550" y="118205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=""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592550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=""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430500" y="123920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=""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182725" y="123920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=""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2963525" y="123920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=""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1753850" y="123920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=""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572750" y="123920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=""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344025" y="123920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=""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057525" y="111728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=""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048000" y="111728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=""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238625" y="111728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=""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524500" y="111728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=""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6829425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=""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077200" y="111728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=""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344025" y="11172825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=""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572750" y="111728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=""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1753850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=""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2963525" y="111728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=""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182725" y="111728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=""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430500" y="11172825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=""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592550" y="111728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=""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592550" y="11182350"/>
          <a:ext cx="12001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=""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182725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=""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430500" y="111728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=""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2963525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=""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1753850" y="11172825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=""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572750" y="11172825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=""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344025" y="11172825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=""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077200" y="11172825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=""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6829425" y="111728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=""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524500" y="111728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=""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238625" y="11172825"/>
          <a:ext cx="13335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=""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04800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=""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067050" y="100298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=""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238625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=""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257675" y="1002982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=""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52450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=""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543550" y="100298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=""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6829425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=""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6848475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=""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077200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=""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096250" y="1002982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=""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344025" y="100298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=""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363075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=""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572750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=""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591800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=""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1753850" y="100298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=""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1772900" y="100298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=""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2963525" y="100298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=""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2982575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=""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182725" y="100298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=""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201775" y="100298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=""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430500" y="100298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=""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449550" y="100298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=""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592550" y="100298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=""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611600" y="10029825"/>
          <a:ext cx="1276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=""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048000" y="8810625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=""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048000" y="9458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=""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238625" y="8810625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=""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238625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=""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524500" y="8810625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=""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524500" y="9458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=""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6829425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=""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6829425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=""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077200" y="8810625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=""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077200" y="9458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=""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344025" y="8810625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=""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344025" y="9458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=""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572750" y="8810625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=""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572750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=""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1753850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=""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1753850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=""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2963525" y="88106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=""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2963525" y="9458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=""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182725" y="88106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=""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182725" y="9458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=""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430500" y="8810625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=""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430500" y="9458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=""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592550" y="8810625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=""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592550" y="9458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=""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592550" y="8810625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=""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592550" y="9458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=""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430500" y="8810625"/>
          <a:ext cx="11620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=""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430500" y="9458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=""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182725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=""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182725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=""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2963525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=""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2963525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=""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1753850" y="8810625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=""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1753850" y="945832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=""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572750" y="8810625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=""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572750" y="9458325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=""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344025" y="8810625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=""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344025" y="9458325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=""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077200" y="8810625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=""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077200" y="9458325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=""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6829425" y="8810625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=""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6829425" y="9458325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=""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524500" y="8810625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=""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524500" y="9458325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=""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238625" y="8810625"/>
          <a:ext cx="13239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=""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238625" y="9458325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=""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048000" y="8810625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=""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048000" y="945832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=""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048000" y="47910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=""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238625" y="47910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=""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52450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=""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6829425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=""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048000" y="5362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=""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238625" y="5362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=""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52450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=""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6829425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=""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077200" y="5362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=""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077200" y="47910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=""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344025" y="47910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=""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344025" y="5362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=""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572750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=""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1753850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=""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572750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=""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1753850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=""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2963525" y="47910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=""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182725" y="47910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=""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430500" y="47910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=""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592550" y="47910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=""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592550" y="5362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=""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430500" y="5362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=""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182725" y="5362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=""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2963525" y="5362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=""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592550" y="47910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=""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430500" y="47910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=""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182725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=""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592550" y="5362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=""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430500" y="5362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=""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182725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=""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2963525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=""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1753850" y="53625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=""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572750" y="53625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=""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572750" y="47910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=""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1753850" y="47910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=""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2963525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=""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344025" y="47910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=""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077200" y="47910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=""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077200" y="53625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=""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6829425" y="47910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=""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6829425" y="53625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=""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524500" y="47910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=""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524500" y="53625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=""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238625" y="47910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=""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238625" y="53625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=""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048000" y="47910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=""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048000" y="5362575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=""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344025" y="53625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=""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048000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=""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238625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=""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524500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=""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68294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=""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077200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=""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344025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=""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048000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=""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238625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=""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524500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=""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68294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=""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077200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=""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344025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=""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572750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=""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572750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=""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175385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=""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175385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=""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2963525" y="76485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=""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2963525" y="8220075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=""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1827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=""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1827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=""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430500" y="76485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=""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430500" y="8220075"/>
          <a:ext cx="11144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=""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59255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=""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59255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=""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59255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=""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430500" y="1060132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=""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1827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=""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2963525" y="1060132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=""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175385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=""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572750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=""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344025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=""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077200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=""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68294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=""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524500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=""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238625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=""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048000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=""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048000" y="1060132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=""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238625" y="1060132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=""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524500" y="1060132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=""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6829425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=""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077200" y="106013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=""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344025" y="1060132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=""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572750" y="1060132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=""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1753850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=""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2963525" y="1060132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=""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182725" y="1060132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=""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430500" y="1060132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=""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592550" y="1060132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=""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592550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=""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430500" y="7648575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=""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182725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=""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2963525" y="76485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=""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1753850" y="76485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=""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572750" y="76485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=""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344025" y="7648575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=""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077200" y="76485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=""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6829425" y="76485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=""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524500" y="76485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=""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238625" y="76485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=""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592550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=""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430500" y="8220075"/>
          <a:ext cx="11049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=""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182725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=""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2963525" y="82200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=""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1753850" y="8220075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=""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572750" y="82200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=""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344025" y="8220075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=""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077200" y="82200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=""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6829425" y="82200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=""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524500" y="82200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=""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238625" y="82200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=""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048000" y="76485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=""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048000" y="82200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=""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=""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=""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=""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=""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=""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=""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=""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=""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=""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=""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048000" y="13058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=""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524500" y="13058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=""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238625" y="13058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=""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68294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=""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077200" y="13058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=""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048000" y="136302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=""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238625" y="136302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=""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524500" y="136302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=""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68294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=""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077200" y="136302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=""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=""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572750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=""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=""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572750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=""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1753850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=""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1753850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=""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2963525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=""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1827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=""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430500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=""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592550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=""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592550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=""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430500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=""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1827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=""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2963525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=""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344025" y="13058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=""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572750" y="13058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=""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1753850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=""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2963525" y="13058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=""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182725" y="13058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=""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430500" y="13058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=""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592550" y="13058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=""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592550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=""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430500" y="136302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=""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182725" y="136302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=""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2963525" y="136302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=""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1753850" y="136302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=""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572750" y="136302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=""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344025" y="136302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06" name="Straight Connector 505">
          <a:extLst>
            <a:ext uri="{FF2B5EF4-FFF2-40B4-BE49-F238E27FC236}">
              <a16:creationId xmlns=""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0575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=""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048000" y="14201775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=""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238625" y="14201775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=""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524500" y="14201775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=""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68294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=""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077200" y="14201775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=""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344025" y="14201775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=""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572750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=""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1753850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=""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2963525" y="14201775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16" name="Straight Connector 515">
          <a:extLst>
            <a:ext uri="{FF2B5EF4-FFF2-40B4-BE49-F238E27FC236}">
              <a16:creationId xmlns=""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182725" y="14201775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17" name="Straight Connector 516">
          <a:extLst>
            <a:ext uri="{FF2B5EF4-FFF2-40B4-BE49-F238E27FC236}">
              <a16:creationId xmlns=""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430500" y="14201775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18" name="Straight Connector 517">
          <a:extLst>
            <a:ext uri="{FF2B5EF4-FFF2-40B4-BE49-F238E27FC236}">
              <a16:creationId xmlns=""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592550" y="1420177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19" name="Straight Connector 518">
          <a:extLst>
            <a:ext uri="{FF2B5EF4-FFF2-40B4-BE49-F238E27FC236}">
              <a16:creationId xmlns=""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592550" y="142113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=""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182725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=""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430500" y="14201775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=""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2963525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=""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1753850" y="14201775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=""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572750" y="14201775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=""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344025" y="14201775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=""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077200" y="14201775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=""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6829425" y="14201775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=""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524500" y="14201775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=""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238625" y="14201775"/>
          <a:ext cx="1333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76</xdr:row>
      <xdr:rowOff>0</xdr:rowOff>
    </xdr:to>
    <xdr:cxnSp macro="">
      <xdr:nvCxnSpPr>
        <xdr:cNvPr id="530" name="Straight Connector 529">
          <a:extLst>
            <a:ext uri="{FF2B5EF4-FFF2-40B4-BE49-F238E27FC236}">
              <a16:creationId xmlns=""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92550" y="147732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76</xdr:row>
      <xdr:rowOff>0</xdr:rowOff>
    </xdr:to>
    <xdr:cxnSp macro="">
      <xdr:nvCxnSpPr>
        <xdr:cNvPr id="531" name="Straight Connector 530">
          <a:extLst>
            <a:ext uri="{FF2B5EF4-FFF2-40B4-BE49-F238E27FC236}">
              <a16:creationId xmlns=""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430500" y="147732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76</xdr:row>
      <xdr:rowOff>0</xdr:rowOff>
    </xdr:to>
    <xdr:cxnSp macro="">
      <xdr:nvCxnSpPr>
        <xdr:cNvPr id="532" name="Straight Connector 531">
          <a:extLst>
            <a:ext uri="{FF2B5EF4-FFF2-40B4-BE49-F238E27FC236}">
              <a16:creationId xmlns=""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182725" y="147732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76</xdr:row>
      <xdr:rowOff>0</xdr:rowOff>
    </xdr:to>
    <xdr:cxnSp macro="">
      <xdr:nvCxnSpPr>
        <xdr:cNvPr id="533" name="Straight Connector 532">
          <a:extLst>
            <a:ext uri="{FF2B5EF4-FFF2-40B4-BE49-F238E27FC236}">
              <a16:creationId xmlns=""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92550" y="147732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76</xdr:row>
      <xdr:rowOff>0</xdr:rowOff>
    </xdr:to>
    <xdr:cxnSp macro="">
      <xdr:nvCxnSpPr>
        <xdr:cNvPr id="534" name="Straight Connector 533">
          <a:extLst>
            <a:ext uri="{FF2B5EF4-FFF2-40B4-BE49-F238E27FC236}">
              <a16:creationId xmlns=""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430500" y="147732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76</xdr:row>
      <xdr:rowOff>0</xdr:rowOff>
    </xdr:to>
    <xdr:cxnSp macro="">
      <xdr:nvCxnSpPr>
        <xdr:cNvPr id="535" name="Straight Connector 534">
          <a:extLst>
            <a:ext uri="{FF2B5EF4-FFF2-40B4-BE49-F238E27FC236}">
              <a16:creationId xmlns=""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182725" y="147732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4"/>
  <sheetViews>
    <sheetView tabSelected="1" workbookViewId="0">
      <selection sqref="A1:XFD1048576"/>
    </sheetView>
  </sheetViews>
  <sheetFormatPr defaultRowHeight="15" x14ac:dyDescent="0.25"/>
  <cols>
    <col min="1" max="1" width="4.42578125" customWidth="1"/>
    <col min="2" max="2" width="28.140625" customWidth="1"/>
    <col min="3" max="3" width="13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9" width="6.42578125" customWidth="1"/>
    <col min="10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1" width="6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6.85546875" customWidth="1"/>
    <col min="29" max="29" width="6.28515625" customWidth="1"/>
    <col min="30" max="30" width="5.140625" customWidth="1"/>
    <col min="31" max="31" width="6" customWidth="1"/>
    <col min="32" max="32" width="6.7109375" customWidth="1"/>
    <col min="33" max="33" width="6" customWidth="1"/>
    <col min="34" max="34" width="7.28515625" customWidth="1"/>
    <col min="35" max="35" width="5.140625" customWidth="1"/>
    <col min="36" max="36" width="5" customWidth="1"/>
    <col min="37" max="37" width="6.7109375" customWidth="1"/>
    <col min="38" max="38" width="6.28515625" customWidth="1"/>
    <col min="39" max="39" width="6.4257812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25">
      <c r="A3" s="2"/>
      <c r="B3" s="2"/>
      <c r="C3" s="3"/>
      <c r="D3" s="2"/>
      <c r="E3" s="2"/>
      <c r="F3" s="2"/>
    </row>
    <row r="4" spans="1:39" x14ac:dyDescent="0.25">
      <c r="A4" s="2"/>
      <c r="B4" s="2"/>
      <c r="C4" s="2"/>
      <c r="D4" s="4"/>
      <c r="E4" s="2"/>
      <c r="F4" s="2"/>
      <c r="K4" t="s">
        <v>2</v>
      </c>
      <c r="N4" s="5" t="s">
        <v>3</v>
      </c>
      <c r="O4" s="6" t="s">
        <v>4</v>
      </c>
    </row>
    <row r="5" spans="1:39" x14ac:dyDescent="0.25">
      <c r="A5" s="2"/>
      <c r="B5" s="2"/>
      <c r="C5" s="2"/>
      <c r="D5" s="2"/>
      <c r="E5" s="2"/>
      <c r="F5" s="2"/>
      <c r="K5" t="s">
        <v>5</v>
      </c>
      <c r="N5" s="5" t="s">
        <v>3</v>
      </c>
      <c r="O5" s="6" t="s">
        <v>6</v>
      </c>
    </row>
    <row r="6" spans="1:39" x14ac:dyDescent="0.25">
      <c r="A6" s="1"/>
      <c r="B6" s="1"/>
      <c r="C6" s="1"/>
      <c r="D6" s="1"/>
      <c r="E6" s="1"/>
      <c r="F6" s="1"/>
      <c r="K6" t="s">
        <v>7</v>
      </c>
      <c r="N6" s="5" t="s">
        <v>3</v>
      </c>
      <c r="O6" s="7" t="s">
        <v>8</v>
      </c>
    </row>
    <row r="7" spans="1:39" x14ac:dyDescent="0.25">
      <c r="K7" t="s">
        <v>9</v>
      </c>
      <c r="N7" s="5" t="s">
        <v>10</v>
      </c>
      <c r="O7" s="6">
        <v>2022</v>
      </c>
    </row>
    <row r="8" spans="1:39" x14ac:dyDescent="0.25">
      <c r="A8" s="8" t="s">
        <v>11</v>
      </c>
      <c r="B8" s="8" t="s">
        <v>12</v>
      </c>
      <c r="C8" s="9" t="s">
        <v>13</v>
      </c>
      <c r="D8" s="10" t="s">
        <v>14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/>
    </row>
    <row r="9" spans="1:39" x14ac:dyDescent="0.25">
      <c r="A9" s="13"/>
      <c r="B9" s="13"/>
      <c r="C9" s="14" t="s">
        <v>15</v>
      </c>
      <c r="D9" s="15" t="s">
        <v>16</v>
      </c>
      <c r="E9" s="16"/>
      <c r="F9" s="17"/>
      <c r="G9" s="15" t="s">
        <v>17</v>
      </c>
      <c r="H9" s="16"/>
      <c r="I9" s="17"/>
      <c r="J9" s="15" t="s">
        <v>18</v>
      </c>
      <c r="K9" s="16"/>
      <c r="L9" s="17"/>
      <c r="M9" s="15" t="s">
        <v>19</v>
      </c>
      <c r="N9" s="16"/>
      <c r="O9" s="17"/>
      <c r="P9" s="15" t="s">
        <v>20</v>
      </c>
      <c r="Q9" s="16"/>
      <c r="R9" s="17"/>
      <c r="S9" s="15" t="s">
        <v>8</v>
      </c>
      <c r="T9" s="16"/>
      <c r="U9" s="17"/>
      <c r="V9" s="15" t="s">
        <v>21</v>
      </c>
      <c r="W9" s="16"/>
      <c r="X9" s="17"/>
      <c r="Y9" s="15" t="s">
        <v>22</v>
      </c>
      <c r="Z9" s="16"/>
      <c r="AA9" s="17"/>
      <c r="AB9" s="15" t="s">
        <v>23</v>
      </c>
      <c r="AC9" s="16"/>
      <c r="AD9" s="17"/>
      <c r="AE9" s="15" t="s">
        <v>24</v>
      </c>
      <c r="AF9" s="16"/>
      <c r="AG9" s="17"/>
      <c r="AH9" s="15" t="s">
        <v>25</v>
      </c>
      <c r="AI9" s="16"/>
      <c r="AJ9" s="17"/>
      <c r="AK9" s="15" t="s">
        <v>26</v>
      </c>
      <c r="AL9" s="16"/>
      <c r="AM9" s="17"/>
    </row>
    <row r="10" spans="1:39" ht="15.75" thickBot="1" x14ac:dyDescent="0.3">
      <c r="A10" s="18"/>
      <c r="B10" s="13"/>
      <c r="C10" s="19" t="s">
        <v>27</v>
      </c>
      <c r="D10" s="20"/>
      <c r="E10" s="21"/>
      <c r="F10" s="22"/>
      <c r="G10" s="20"/>
      <c r="H10" s="21"/>
      <c r="I10" s="22"/>
      <c r="J10" s="20"/>
      <c r="K10" s="21"/>
      <c r="L10" s="22"/>
      <c r="M10" s="20"/>
      <c r="N10" s="21"/>
      <c r="O10" s="22"/>
      <c r="P10" s="20"/>
      <c r="Q10" s="21"/>
      <c r="R10" s="22"/>
      <c r="S10" s="20"/>
      <c r="T10" s="21"/>
      <c r="U10" s="22"/>
      <c r="V10" s="20"/>
      <c r="W10" s="21"/>
      <c r="X10" s="22"/>
      <c r="Y10" s="20"/>
      <c r="Z10" s="21"/>
      <c r="AA10" s="22"/>
      <c r="AB10" s="20"/>
      <c r="AC10" s="21"/>
      <c r="AD10" s="22"/>
      <c r="AE10" s="20"/>
      <c r="AF10" s="21"/>
      <c r="AG10" s="22"/>
      <c r="AH10" s="20"/>
      <c r="AI10" s="21"/>
      <c r="AJ10" s="22"/>
      <c r="AK10" s="20"/>
      <c r="AL10" s="21"/>
      <c r="AM10" s="22"/>
    </row>
    <row r="11" spans="1:39" ht="15.75" thickTop="1" x14ac:dyDescent="0.25">
      <c r="A11" s="13">
        <v>1</v>
      </c>
      <c r="B11" s="23" t="s">
        <v>28</v>
      </c>
      <c r="C11" s="24">
        <v>1680900</v>
      </c>
      <c r="D11" s="25"/>
      <c r="E11" s="26">
        <f>1/12*100</f>
        <v>8.3333333333333321</v>
      </c>
      <c r="F11" s="27"/>
      <c r="G11" s="25"/>
      <c r="H11" s="26">
        <f>2/12*100</f>
        <v>16.666666666666664</v>
      </c>
      <c r="I11" s="27"/>
      <c r="J11" s="25"/>
      <c r="K11" s="26">
        <f>2/12*100</f>
        <v>16.666666666666664</v>
      </c>
      <c r="L11" s="27"/>
      <c r="M11" s="25"/>
      <c r="N11" s="26">
        <f>4/12*100</f>
        <v>33.333333333333329</v>
      </c>
      <c r="O11" s="27"/>
      <c r="P11" s="25"/>
      <c r="Q11" s="26">
        <f>5/12*100</f>
        <v>41.666666666666671</v>
      </c>
      <c r="R11" s="27"/>
      <c r="S11" s="25"/>
      <c r="T11" s="26">
        <f>6/12*100</f>
        <v>50</v>
      </c>
      <c r="U11" s="27"/>
      <c r="V11" s="25"/>
      <c r="W11" s="26">
        <f>7/12*100</f>
        <v>58.333333333333336</v>
      </c>
      <c r="X11" s="27"/>
      <c r="Y11" s="25"/>
      <c r="Z11" s="26">
        <f>8/12*100</f>
        <v>66.666666666666657</v>
      </c>
      <c r="AA11" s="27"/>
      <c r="AB11" s="25"/>
      <c r="AC11" s="26">
        <f>9/12*100</f>
        <v>75</v>
      </c>
      <c r="AD11" s="27"/>
      <c r="AE11" s="25"/>
      <c r="AF11" s="26">
        <f>10/12*100</f>
        <v>83.333333333333343</v>
      </c>
      <c r="AG11" s="27"/>
      <c r="AH11" s="25"/>
      <c r="AI11" s="26">
        <f>11/12*100</f>
        <v>91.666666666666657</v>
      </c>
      <c r="AJ11" s="27"/>
      <c r="AK11" s="25"/>
      <c r="AL11" s="28">
        <f>12/12*100</f>
        <v>100</v>
      </c>
      <c r="AM11" s="27"/>
    </row>
    <row r="12" spans="1:39" x14ac:dyDescent="0.25">
      <c r="A12" s="13"/>
      <c r="B12" s="23"/>
      <c r="C12" s="24"/>
      <c r="D12" s="25">
        <f>0/1880900*100</f>
        <v>0</v>
      </c>
      <c r="E12" s="26"/>
      <c r="F12" s="27"/>
      <c r="G12" s="25">
        <f>0/1880900*100</f>
        <v>0</v>
      </c>
      <c r="H12" s="26"/>
      <c r="I12" s="27">
        <v>0</v>
      </c>
      <c r="J12" s="25">
        <v>0</v>
      </c>
      <c r="K12" s="26"/>
      <c r="L12" s="27">
        <v>0</v>
      </c>
      <c r="M12" s="25">
        <v>0</v>
      </c>
      <c r="N12" s="26"/>
      <c r="O12" s="27">
        <f>0/1880900*100</f>
        <v>0</v>
      </c>
      <c r="P12" s="25">
        <f>900000/C11*100</f>
        <v>53.542744958058186</v>
      </c>
      <c r="Q12" s="26"/>
      <c r="R12" s="27">
        <f>Q13</f>
        <v>53.542744958058186</v>
      </c>
      <c r="S12" s="25">
        <v>0</v>
      </c>
      <c r="T12" s="26"/>
      <c r="U12" s="27">
        <f>R12</f>
        <v>53.542744958058186</v>
      </c>
      <c r="V12" s="25">
        <v>0</v>
      </c>
      <c r="W12" s="26"/>
      <c r="X12" s="27">
        <v>0</v>
      </c>
      <c r="Y12" s="25">
        <v>0</v>
      </c>
      <c r="Z12" s="26"/>
      <c r="AA12" s="27">
        <f>Z13</f>
        <v>0</v>
      </c>
      <c r="AB12" s="25">
        <v>0</v>
      </c>
      <c r="AC12" s="26"/>
      <c r="AD12" s="27">
        <v>0</v>
      </c>
      <c r="AE12" s="25">
        <v>0</v>
      </c>
      <c r="AF12" s="26"/>
      <c r="AG12" s="27">
        <v>0</v>
      </c>
      <c r="AH12" s="25">
        <v>0</v>
      </c>
      <c r="AI12" s="26"/>
      <c r="AJ12" s="27">
        <v>0</v>
      </c>
      <c r="AK12" s="29">
        <v>0</v>
      </c>
      <c r="AL12" s="28"/>
      <c r="AM12" s="27">
        <v>0</v>
      </c>
    </row>
    <row r="13" spans="1:39" x14ac:dyDescent="0.25">
      <c r="A13" s="30"/>
      <c r="B13" s="23"/>
      <c r="C13" s="31"/>
      <c r="D13" s="32"/>
      <c r="E13" s="33">
        <f>U13</f>
        <v>0</v>
      </c>
      <c r="F13" s="34"/>
      <c r="G13" s="32"/>
      <c r="H13" s="33">
        <f>U13</f>
        <v>0</v>
      </c>
      <c r="I13" s="34"/>
      <c r="J13" s="32"/>
      <c r="K13" s="33">
        <v>0</v>
      </c>
      <c r="L13" s="34"/>
      <c r="M13" s="32"/>
      <c r="N13" s="33">
        <v>0</v>
      </c>
      <c r="O13" s="34"/>
      <c r="P13" s="32"/>
      <c r="Q13" s="33">
        <f>P12</f>
        <v>53.542744958058186</v>
      </c>
      <c r="R13" s="34"/>
      <c r="S13" s="32"/>
      <c r="T13" s="33">
        <f>Q13</f>
        <v>53.542744958058186</v>
      </c>
      <c r="U13" s="34"/>
      <c r="V13" s="32"/>
      <c r="W13" s="33">
        <v>0</v>
      </c>
      <c r="X13" s="34"/>
      <c r="Y13" s="32"/>
      <c r="Z13" s="33">
        <v>0</v>
      </c>
      <c r="AA13" s="34"/>
      <c r="AB13" s="32"/>
      <c r="AC13" s="33">
        <v>0</v>
      </c>
      <c r="AD13" s="34"/>
      <c r="AE13" s="32"/>
      <c r="AF13" s="33">
        <v>0</v>
      </c>
      <c r="AG13" s="34"/>
      <c r="AH13" s="32"/>
      <c r="AI13" s="33">
        <v>0</v>
      </c>
      <c r="AJ13" s="34"/>
      <c r="AK13" s="32"/>
      <c r="AL13" s="35">
        <v>0</v>
      </c>
      <c r="AM13" s="34"/>
    </row>
    <row r="14" spans="1:39" x14ac:dyDescent="0.25">
      <c r="A14" s="36">
        <v>2</v>
      </c>
      <c r="B14" s="37" t="s">
        <v>29</v>
      </c>
      <c r="C14" s="38">
        <v>499800</v>
      </c>
      <c r="D14" s="39"/>
      <c r="E14" s="40">
        <f>1/12*100</f>
        <v>8.3333333333333321</v>
      </c>
      <c r="F14" s="41"/>
      <c r="G14" s="39"/>
      <c r="H14" s="40">
        <f>2/12*100</f>
        <v>16.666666666666664</v>
      </c>
      <c r="I14" s="41"/>
      <c r="J14" s="39"/>
      <c r="K14" s="40">
        <f>3/12*100</f>
        <v>25</v>
      </c>
      <c r="L14" s="41"/>
      <c r="M14" s="39"/>
      <c r="N14" s="40">
        <f>4/12*100</f>
        <v>33.333333333333329</v>
      </c>
      <c r="O14" s="41"/>
      <c r="P14" s="39"/>
      <c r="Q14" s="40">
        <f>5/12*100</f>
        <v>41.666666666666671</v>
      </c>
      <c r="R14" s="41"/>
      <c r="S14" s="39"/>
      <c r="T14" s="42">
        <v>100</v>
      </c>
      <c r="U14" s="41"/>
      <c r="V14" s="39"/>
      <c r="W14" s="40">
        <f>7/12*100</f>
        <v>58.333333333333336</v>
      </c>
      <c r="X14" s="41"/>
      <c r="Y14" s="39"/>
      <c r="Z14" s="40">
        <f>8/12*100</f>
        <v>66.666666666666657</v>
      </c>
      <c r="AA14" s="41"/>
      <c r="AB14" s="39"/>
      <c r="AC14" s="40">
        <f>9/12*100</f>
        <v>75</v>
      </c>
      <c r="AD14" s="41"/>
      <c r="AE14" s="39"/>
      <c r="AF14" s="40">
        <f>10/12*100</f>
        <v>83.333333333333343</v>
      </c>
      <c r="AG14" s="41"/>
      <c r="AH14" s="39"/>
      <c r="AI14" s="40">
        <f>11/12*100</f>
        <v>91.666666666666657</v>
      </c>
      <c r="AJ14" s="41"/>
      <c r="AK14" s="39"/>
      <c r="AL14" s="40">
        <v>100</v>
      </c>
      <c r="AM14" s="41"/>
    </row>
    <row r="15" spans="1:39" x14ac:dyDescent="0.25">
      <c r="A15" s="13"/>
      <c r="B15" s="43"/>
      <c r="C15" s="44"/>
      <c r="D15" s="25">
        <f>0/599800*100</f>
        <v>0</v>
      </c>
      <c r="E15" s="26"/>
      <c r="F15" s="27">
        <f>R14</f>
        <v>0</v>
      </c>
      <c r="G15" s="25">
        <f>0/599800*100</f>
        <v>0</v>
      </c>
      <c r="H15" s="26"/>
      <c r="I15" s="27">
        <f>U15</f>
        <v>0</v>
      </c>
      <c r="J15" s="25">
        <v>0</v>
      </c>
      <c r="K15" s="26"/>
      <c r="L15" s="27">
        <v>0</v>
      </c>
      <c r="M15" s="25">
        <f>0/599800*100</f>
        <v>0</v>
      </c>
      <c r="N15" s="26"/>
      <c r="O15" s="27">
        <f>0/599800*100</f>
        <v>0</v>
      </c>
      <c r="P15" s="25">
        <f>0/599800*100</f>
        <v>0</v>
      </c>
      <c r="Q15" s="26"/>
      <c r="R15" s="27">
        <f>0/5998008100</f>
        <v>0</v>
      </c>
      <c r="S15" s="29">
        <v>0</v>
      </c>
      <c r="T15" s="26"/>
      <c r="U15" s="27">
        <v>0</v>
      </c>
      <c r="V15" s="25">
        <v>0</v>
      </c>
      <c r="W15" s="26"/>
      <c r="X15" s="27">
        <v>0</v>
      </c>
      <c r="Y15" s="25">
        <v>0</v>
      </c>
      <c r="Z15" s="26"/>
      <c r="AA15" s="27">
        <v>0</v>
      </c>
      <c r="AB15" s="25">
        <v>0</v>
      </c>
      <c r="AC15" s="26"/>
      <c r="AD15" s="27">
        <v>0</v>
      </c>
      <c r="AE15" s="25">
        <v>0</v>
      </c>
      <c r="AF15" s="26"/>
      <c r="AG15" s="33">
        <v>0</v>
      </c>
      <c r="AH15" s="25">
        <v>0</v>
      </c>
      <c r="AI15" s="26"/>
      <c r="AJ15" s="27">
        <v>0</v>
      </c>
      <c r="AK15" s="25">
        <v>0</v>
      </c>
      <c r="AL15" s="26"/>
      <c r="AM15" s="27">
        <v>0</v>
      </c>
    </row>
    <row r="16" spans="1:39" x14ac:dyDescent="0.25">
      <c r="A16" s="30"/>
      <c r="B16" s="45"/>
      <c r="C16" s="46"/>
      <c r="D16" s="32"/>
      <c r="E16" s="33">
        <f>U16</f>
        <v>0</v>
      </c>
      <c r="F16" s="34"/>
      <c r="G16" s="32"/>
      <c r="H16" s="33">
        <f>R16</f>
        <v>0</v>
      </c>
      <c r="I16" s="34"/>
      <c r="J16" s="32"/>
      <c r="K16" s="33">
        <v>0</v>
      </c>
      <c r="L16" s="34"/>
      <c r="M16" s="32"/>
      <c r="N16" s="33">
        <f>L16</f>
        <v>0</v>
      </c>
      <c r="O16" s="34"/>
      <c r="P16" s="32"/>
      <c r="Q16" s="33">
        <f>0/5998008100</f>
        <v>0</v>
      </c>
      <c r="R16" s="34"/>
      <c r="S16" s="32"/>
      <c r="T16" s="33">
        <v>0</v>
      </c>
      <c r="U16" s="34"/>
      <c r="V16" s="32"/>
      <c r="W16" s="33">
        <v>0</v>
      </c>
      <c r="X16" s="34"/>
      <c r="Y16" s="32"/>
      <c r="Z16" s="33">
        <v>0</v>
      </c>
      <c r="AA16" s="34"/>
      <c r="AB16" s="32"/>
      <c r="AC16" s="33">
        <v>0</v>
      </c>
      <c r="AD16" s="34"/>
      <c r="AE16" s="32"/>
      <c r="AF16" s="33">
        <v>0</v>
      </c>
      <c r="AG16" s="34"/>
      <c r="AH16" s="32"/>
      <c r="AI16" s="33">
        <v>0</v>
      </c>
      <c r="AJ16" s="34"/>
      <c r="AK16" s="32"/>
      <c r="AL16" s="33">
        <v>0</v>
      </c>
      <c r="AM16" s="34"/>
    </row>
    <row r="17" spans="1:39" x14ac:dyDescent="0.25">
      <c r="A17" s="13">
        <v>3</v>
      </c>
      <c r="B17" s="43" t="s">
        <v>30</v>
      </c>
      <c r="C17" s="44">
        <v>1859119000</v>
      </c>
      <c r="D17" s="39"/>
      <c r="E17" s="40">
        <f>1/12*100</f>
        <v>8.3333333333333321</v>
      </c>
      <c r="F17" s="41"/>
      <c r="G17" s="39"/>
      <c r="H17" s="40">
        <f>2/12*100</f>
        <v>16.666666666666664</v>
      </c>
      <c r="I17" s="41"/>
      <c r="J17" s="39"/>
      <c r="K17" s="40">
        <f>3/12*100</f>
        <v>25</v>
      </c>
      <c r="L17" s="41"/>
      <c r="M17" s="39"/>
      <c r="N17" s="40">
        <f>4/12*100</f>
        <v>33.333333333333329</v>
      </c>
      <c r="O17" s="41"/>
      <c r="P17" s="39"/>
      <c r="Q17" s="40">
        <f>5/12*100</f>
        <v>41.666666666666671</v>
      </c>
      <c r="R17" s="41"/>
      <c r="S17" s="39"/>
      <c r="T17" s="40">
        <f>6/12*100</f>
        <v>50</v>
      </c>
      <c r="U17" s="41"/>
      <c r="V17" s="39"/>
      <c r="W17" s="40">
        <f>7/12*100</f>
        <v>58.333333333333336</v>
      </c>
      <c r="X17" s="41"/>
      <c r="Y17" s="39"/>
      <c r="Z17" s="40">
        <f>8/12*100</f>
        <v>66.666666666666657</v>
      </c>
      <c r="AA17" s="41"/>
      <c r="AB17" s="39"/>
      <c r="AC17" s="40">
        <f>9/12*100</f>
        <v>75</v>
      </c>
      <c r="AD17" s="41"/>
      <c r="AE17" s="39"/>
      <c r="AF17" s="40">
        <f>10/12*100</f>
        <v>83.333333333333343</v>
      </c>
      <c r="AG17" s="41"/>
      <c r="AH17" s="39"/>
      <c r="AI17" s="40">
        <f>11/12*100</f>
        <v>91.666666666666657</v>
      </c>
      <c r="AJ17" s="41"/>
      <c r="AK17" s="39"/>
      <c r="AL17" s="40">
        <f>12/12*100</f>
        <v>100</v>
      </c>
      <c r="AM17" s="41"/>
    </row>
    <row r="18" spans="1:39" ht="15.75" x14ac:dyDescent="0.25">
      <c r="A18" s="13"/>
      <c r="B18" s="43"/>
      <c r="C18" s="44"/>
      <c r="D18" s="25">
        <f>79927870/1859119000*100</f>
        <v>4.2992336692809872</v>
      </c>
      <c r="E18" s="26"/>
      <c r="F18" s="27">
        <f>E19</f>
        <v>4.2992336692809872</v>
      </c>
      <c r="G18" s="25">
        <f>134163505/C17*100</f>
        <v>7.2165098092160855</v>
      </c>
      <c r="H18" s="26"/>
      <c r="I18" s="27">
        <f>H19</f>
        <v>11.515743478497072</v>
      </c>
      <c r="J18" s="47">
        <f>80314992/C17*100</f>
        <v>4.3200565429109163</v>
      </c>
      <c r="K18" s="26"/>
      <c r="L18" s="27">
        <f>K19</f>
        <v>15.835800021407987</v>
      </c>
      <c r="M18" s="25">
        <f>286923790/C17*100</f>
        <v>15.433320298485464</v>
      </c>
      <c r="N18" s="26"/>
      <c r="O18" s="27">
        <f>N19</f>
        <v>31.269120319893457</v>
      </c>
      <c r="P18" s="25">
        <f>360529525/C17*100</f>
        <v>19.392493164773207</v>
      </c>
      <c r="Q18" s="26"/>
      <c r="R18" s="27">
        <f>Q19</f>
        <v>38.761757638967701</v>
      </c>
      <c r="S18" s="25">
        <f>117897823/C17*100</f>
        <v>6.3415963690328594</v>
      </c>
      <c r="T18" s="26"/>
      <c r="U18" s="33">
        <f>T19</f>
        <v>45.103354169367321</v>
      </c>
      <c r="V18" s="25">
        <v>0</v>
      </c>
      <c r="W18" s="26"/>
      <c r="X18" s="27">
        <v>0</v>
      </c>
      <c r="Y18" s="25">
        <v>0</v>
      </c>
      <c r="Z18" s="26"/>
      <c r="AA18" s="27">
        <v>0</v>
      </c>
      <c r="AB18" s="25">
        <v>0</v>
      </c>
      <c r="AC18" s="26"/>
      <c r="AD18" s="27">
        <v>0</v>
      </c>
      <c r="AE18" s="25">
        <v>0</v>
      </c>
      <c r="AF18" s="26"/>
      <c r="AG18" s="27">
        <v>0</v>
      </c>
      <c r="AH18" s="25">
        <v>0</v>
      </c>
      <c r="AI18" s="26"/>
      <c r="AJ18" s="27">
        <v>0</v>
      </c>
      <c r="AK18" s="25">
        <v>0</v>
      </c>
      <c r="AL18" s="26"/>
      <c r="AM18" s="27">
        <v>0</v>
      </c>
    </row>
    <row r="19" spans="1:39" x14ac:dyDescent="0.25">
      <c r="A19" s="13"/>
      <c r="B19" s="43"/>
      <c r="C19" s="44"/>
      <c r="D19" s="32"/>
      <c r="E19" s="33">
        <f>D18</f>
        <v>4.2992336692809872</v>
      </c>
      <c r="F19" s="34"/>
      <c r="G19" s="32"/>
      <c r="H19" s="33">
        <f>D18+G18</f>
        <v>11.515743478497072</v>
      </c>
      <c r="I19" s="34"/>
      <c r="J19" s="32"/>
      <c r="K19" s="33">
        <f>D18+G18+J18</f>
        <v>15.835800021407987</v>
      </c>
      <c r="L19" s="34"/>
      <c r="M19" s="32"/>
      <c r="N19" s="33">
        <f>581330157/C17*100</f>
        <v>31.269120319893457</v>
      </c>
      <c r="O19" s="34"/>
      <c r="P19" s="32"/>
      <c r="Q19" s="33">
        <f>720627201/C17*100</f>
        <v>38.761757638967701</v>
      </c>
      <c r="R19" s="34"/>
      <c r="S19" s="32"/>
      <c r="T19" s="33">
        <f>838525027/C17*100</f>
        <v>45.103354169367321</v>
      </c>
      <c r="U19" s="34"/>
      <c r="V19" s="32"/>
      <c r="W19" s="33">
        <v>0</v>
      </c>
      <c r="X19" s="34"/>
      <c r="Y19" s="32"/>
      <c r="Z19" s="33">
        <v>0</v>
      </c>
      <c r="AA19" s="34"/>
      <c r="AB19" s="32"/>
      <c r="AC19" s="33">
        <v>0</v>
      </c>
      <c r="AD19" s="34"/>
      <c r="AE19" s="32"/>
      <c r="AF19" s="33">
        <v>0</v>
      </c>
      <c r="AG19" s="34"/>
      <c r="AH19" s="32"/>
      <c r="AI19" s="33">
        <v>0</v>
      </c>
      <c r="AJ19" s="34"/>
      <c r="AK19" s="32"/>
      <c r="AL19" s="33">
        <v>0</v>
      </c>
      <c r="AM19" s="34"/>
    </row>
    <row r="20" spans="1:39" x14ac:dyDescent="0.25">
      <c r="A20" s="36">
        <v>4</v>
      </c>
      <c r="B20" s="37" t="s">
        <v>31</v>
      </c>
      <c r="C20" s="38">
        <v>2661000</v>
      </c>
      <c r="D20" s="39"/>
      <c r="E20" s="40">
        <f>1/12*100</f>
        <v>8.3333333333333321</v>
      </c>
      <c r="F20" s="41"/>
      <c r="G20" s="39"/>
      <c r="H20" s="48">
        <f>2/12*100</f>
        <v>16.666666666666664</v>
      </c>
      <c r="I20" s="41"/>
      <c r="J20" s="39"/>
      <c r="K20" s="40">
        <f>3/12*100</f>
        <v>25</v>
      </c>
      <c r="L20" s="41"/>
      <c r="M20" s="39"/>
      <c r="N20" s="40">
        <f>4/12*100</f>
        <v>33.333333333333329</v>
      </c>
      <c r="O20" s="41"/>
      <c r="P20" s="39"/>
      <c r="Q20" s="40">
        <f>5/12*100</f>
        <v>41.666666666666671</v>
      </c>
      <c r="R20" s="41"/>
      <c r="S20" s="39"/>
      <c r="T20" s="40">
        <f>6/12*100</f>
        <v>50</v>
      </c>
      <c r="U20" s="41"/>
      <c r="V20" s="39"/>
      <c r="W20" s="40">
        <f>7/12*100</f>
        <v>58.333333333333336</v>
      </c>
      <c r="X20" s="41"/>
      <c r="Y20" s="39"/>
      <c r="Z20" s="40">
        <f>8/12*100</f>
        <v>66.666666666666657</v>
      </c>
      <c r="AA20" s="41"/>
      <c r="AB20" s="39"/>
      <c r="AC20" s="40">
        <f>9/12*100</f>
        <v>75</v>
      </c>
      <c r="AD20" s="41"/>
      <c r="AE20" s="39"/>
      <c r="AF20" s="40">
        <f>10/12*100</f>
        <v>83.333333333333343</v>
      </c>
      <c r="AG20" s="41"/>
      <c r="AH20" s="39"/>
      <c r="AI20" s="40">
        <f>11/12*100</f>
        <v>91.666666666666657</v>
      </c>
      <c r="AJ20" s="41"/>
      <c r="AK20" s="39"/>
      <c r="AL20" s="40">
        <f>12/12*100</f>
        <v>100</v>
      </c>
      <c r="AM20" s="41"/>
    </row>
    <row r="21" spans="1:39" x14ac:dyDescent="0.25">
      <c r="A21" s="13"/>
      <c r="B21" s="43"/>
      <c r="C21" s="44"/>
      <c r="D21" s="25">
        <f>0/3000000*100</f>
        <v>0</v>
      </c>
      <c r="E21" s="26"/>
      <c r="F21" s="27">
        <f>U20</f>
        <v>0</v>
      </c>
      <c r="G21" s="25">
        <f>953000/2661000*100</f>
        <v>35.813603908305147</v>
      </c>
      <c r="H21" s="26"/>
      <c r="I21" s="27">
        <f>H22</f>
        <v>35.813603908305147</v>
      </c>
      <c r="J21" s="25">
        <f>420000/2661000*100</f>
        <v>15.783540022547914</v>
      </c>
      <c r="K21" s="26"/>
      <c r="L21" s="27">
        <f>K22</f>
        <v>51.597143930853065</v>
      </c>
      <c r="M21" s="25">
        <v>0</v>
      </c>
      <c r="N21" s="26"/>
      <c r="O21" s="27">
        <f>N22</f>
        <v>51.597143930853065</v>
      </c>
      <c r="P21" s="25">
        <f>650000/C20*100</f>
        <v>24.426907177752724</v>
      </c>
      <c r="Q21" s="26"/>
      <c r="R21" s="27">
        <f>Q22</f>
        <v>76.024051108605789</v>
      </c>
      <c r="S21" s="25">
        <v>0</v>
      </c>
      <c r="T21" s="26"/>
      <c r="U21" s="27">
        <v>76</v>
      </c>
      <c r="V21" s="25">
        <v>0</v>
      </c>
      <c r="W21" s="26"/>
      <c r="X21" s="27">
        <v>0</v>
      </c>
      <c r="Y21" s="25">
        <v>0</v>
      </c>
      <c r="Z21" s="26"/>
      <c r="AA21" s="27">
        <v>0</v>
      </c>
      <c r="AB21" s="25">
        <v>0</v>
      </c>
      <c r="AC21" s="26"/>
      <c r="AD21" s="27">
        <v>0</v>
      </c>
      <c r="AE21" s="25">
        <v>0</v>
      </c>
      <c r="AF21" s="26"/>
      <c r="AG21" s="27">
        <v>0</v>
      </c>
      <c r="AH21" s="25">
        <v>0</v>
      </c>
      <c r="AI21" s="26"/>
      <c r="AJ21" s="27">
        <v>0</v>
      </c>
      <c r="AK21" s="25">
        <v>0</v>
      </c>
      <c r="AL21" s="26"/>
      <c r="AM21" s="27">
        <v>0</v>
      </c>
    </row>
    <row r="22" spans="1:39" x14ac:dyDescent="0.25">
      <c r="A22" s="30"/>
      <c r="B22" s="45"/>
      <c r="C22" s="46"/>
      <c r="D22" s="32"/>
      <c r="E22" s="33">
        <v>0</v>
      </c>
      <c r="F22" s="34"/>
      <c r="G22" s="32"/>
      <c r="H22" s="33">
        <f>D21+G21</f>
        <v>35.813603908305147</v>
      </c>
      <c r="I22" s="34"/>
      <c r="J22" s="32"/>
      <c r="K22" s="33">
        <f>D21+G21+J21</f>
        <v>51.597143930853065</v>
      </c>
      <c r="L22" s="34"/>
      <c r="M22" s="32"/>
      <c r="N22" s="33">
        <f>1373000/C20*100</f>
        <v>51.597143930853065</v>
      </c>
      <c r="O22" s="34"/>
      <c r="P22" s="32"/>
      <c r="Q22" s="33">
        <f>2023000/C20*100</f>
        <v>76.024051108605789</v>
      </c>
      <c r="R22" s="34"/>
      <c r="S22" s="32"/>
      <c r="T22" s="33">
        <v>76</v>
      </c>
      <c r="U22" s="34"/>
      <c r="V22" s="32"/>
      <c r="W22" s="33">
        <v>0</v>
      </c>
      <c r="X22" s="34"/>
      <c r="Y22" s="32"/>
      <c r="Z22" s="33">
        <v>0</v>
      </c>
      <c r="AA22" s="34"/>
      <c r="AB22" s="32"/>
      <c r="AC22" s="33">
        <v>0</v>
      </c>
      <c r="AD22" s="34"/>
      <c r="AE22" s="32"/>
      <c r="AF22" s="33">
        <v>0</v>
      </c>
      <c r="AG22" s="34"/>
      <c r="AH22" s="32"/>
      <c r="AI22" s="33">
        <v>0</v>
      </c>
      <c r="AJ22" s="34"/>
      <c r="AK22" s="32"/>
      <c r="AL22" s="33">
        <v>0</v>
      </c>
      <c r="AM22" s="34"/>
    </row>
    <row r="23" spans="1:39" x14ac:dyDescent="0.25">
      <c r="A23" s="13">
        <v>5</v>
      </c>
      <c r="B23" s="43" t="s">
        <v>32</v>
      </c>
      <c r="C23" s="24">
        <v>6285400</v>
      </c>
      <c r="D23" s="39"/>
      <c r="E23" s="40">
        <f>1/12*100</f>
        <v>8.3333333333333321</v>
      </c>
      <c r="F23" s="41"/>
      <c r="G23" s="39"/>
      <c r="H23" s="40">
        <f>2/12*100</f>
        <v>16.666666666666664</v>
      </c>
      <c r="I23" s="41"/>
      <c r="J23" s="39"/>
      <c r="K23" s="40">
        <f>3/12*100</f>
        <v>25</v>
      </c>
      <c r="L23" s="41"/>
      <c r="M23" s="39"/>
      <c r="N23" s="40">
        <f>4/12*100</f>
        <v>33.333333333333329</v>
      </c>
      <c r="O23" s="41"/>
      <c r="P23" s="39"/>
      <c r="Q23" s="40">
        <f>5/12*100</f>
        <v>41.666666666666671</v>
      </c>
      <c r="R23" s="41"/>
      <c r="S23" s="39"/>
      <c r="T23" s="40">
        <f>6/12*100</f>
        <v>50</v>
      </c>
      <c r="U23" s="41"/>
      <c r="V23" s="39"/>
      <c r="W23" s="40">
        <f>7/12*100</f>
        <v>58.333333333333336</v>
      </c>
      <c r="X23" s="41"/>
      <c r="Y23" s="39"/>
      <c r="Z23" s="40">
        <f>8/12*100</f>
        <v>66.666666666666657</v>
      </c>
      <c r="AA23" s="41"/>
      <c r="AB23" s="39"/>
      <c r="AC23" s="40">
        <f>9/12*100</f>
        <v>75</v>
      </c>
      <c r="AD23" s="41"/>
      <c r="AE23" s="39"/>
      <c r="AF23" s="40">
        <f>10/12*100</f>
        <v>83.333333333333343</v>
      </c>
      <c r="AG23" s="41"/>
      <c r="AH23" s="39"/>
      <c r="AI23" s="40">
        <f>11/12*100</f>
        <v>91.666666666666657</v>
      </c>
      <c r="AJ23" s="41"/>
      <c r="AK23" s="39"/>
      <c r="AL23" s="40">
        <f>12/12*100</f>
        <v>100</v>
      </c>
      <c r="AM23" s="41"/>
    </row>
    <row r="24" spans="1:39" x14ac:dyDescent="0.25">
      <c r="A24" s="13"/>
      <c r="B24" s="43"/>
      <c r="C24" s="24"/>
      <c r="D24" s="25">
        <f>0/11034600*100</f>
        <v>0</v>
      </c>
      <c r="E24" s="26"/>
      <c r="F24" s="27">
        <f>U23</f>
        <v>0</v>
      </c>
      <c r="G24" s="25">
        <f>1891700/6285400*100</f>
        <v>30.096732109332741</v>
      </c>
      <c r="H24" s="26"/>
      <c r="I24" s="27">
        <f>H25</f>
        <v>30.096732109332741</v>
      </c>
      <c r="J24" s="25">
        <f>1731100/6285400*100</f>
        <v>27.541604352944919</v>
      </c>
      <c r="K24" s="26"/>
      <c r="L24" s="27">
        <f>K25</f>
        <v>57.638336462277664</v>
      </c>
      <c r="M24" s="25">
        <v>0</v>
      </c>
      <c r="N24" s="26"/>
      <c r="O24" s="27">
        <f>N25</f>
        <v>57.638336462277664</v>
      </c>
      <c r="P24" s="25">
        <f>1011600/C23*100</f>
        <v>16.094441085690647</v>
      </c>
      <c r="Q24" s="26"/>
      <c r="R24" s="27">
        <f>Q25</f>
        <v>73.732777547968311</v>
      </c>
      <c r="S24" s="25">
        <v>0</v>
      </c>
      <c r="T24" s="26"/>
      <c r="U24" s="27">
        <v>73.7</v>
      </c>
      <c r="V24" s="25">
        <v>0</v>
      </c>
      <c r="W24" s="26"/>
      <c r="X24" s="27">
        <v>0</v>
      </c>
      <c r="Y24" s="25">
        <v>0</v>
      </c>
      <c r="Z24" s="26"/>
      <c r="AA24" s="33">
        <v>0</v>
      </c>
      <c r="AB24" s="25">
        <v>0</v>
      </c>
      <c r="AC24" s="26"/>
      <c r="AD24" s="27">
        <v>0</v>
      </c>
      <c r="AE24" s="25">
        <v>0</v>
      </c>
      <c r="AF24" s="26"/>
      <c r="AG24" s="27">
        <v>0</v>
      </c>
      <c r="AH24" s="25">
        <v>0</v>
      </c>
      <c r="AI24" s="26"/>
      <c r="AJ24" s="27">
        <v>0</v>
      </c>
      <c r="AK24" s="25">
        <v>0</v>
      </c>
      <c r="AL24" s="26"/>
      <c r="AM24" s="27">
        <v>0</v>
      </c>
    </row>
    <row r="25" spans="1:39" x14ac:dyDescent="0.25">
      <c r="A25" s="13"/>
      <c r="B25" s="43"/>
      <c r="C25" s="24"/>
      <c r="D25" s="32"/>
      <c r="E25" s="33">
        <v>0</v>
      </c>
      <c r="F25" s="34"/>
      <c r="G25" s="32"/>
      <c r="H25" s="33">
        <f>D24+G24</f>
        <v>30.096732109332741</v>
      </c>
      <c r="I25" s="34"/>
      <c r="J25" s="32"/>
      <c r="K25" s="33">
        <f>D24+G24+J24</f>
        <v>57.638336462277664</v>
      </c>
      <c r="L25" s="34"/>
      <c r="M25" s="32"/>
      <c r="N25" s="33">
        <f>3622800/C23*100</f>
        <v>57.638336462277664</v>
      </c>
      <c r="O25" s="34"/>
      <c r="P25" s="32"/>
      <c r="Q25" s="33">
        <f>4634400/C23*100</f>
        <v>73.732777547968311</v>
      </c>
      <c r="R25" s="34"/>
      <c r="S25" s="32"/>
      <c r="T25" s="33">
        <v>73.7</v>
      </c>
      <c r="U25" s="34"/>
      <c r="V25" s="32"/>
      <c r="W25" s="33">
        <v>0</v>
      </c>
      <c r="X25" s="34"/>
      <c r="Y25" s="32"/>
      <c r="Z25" s="33">
        <v>0</v>
      </c>
      <c r="AA25" s="34"/>
      <c r="AB25" s="32"/>
      <c r="AC25" s="33">
        <v>0</v>
      </c>
      <c r="AD25" s="34"/>
      <c r="AE25" s="32"/>
      <c r="AF25" s="33">
        <v>0</v>
      </c>
      <c r="AG25" s="34"/>
      <c r="AH25" s="32"/>
      <c r="AI25" s="33">
        <v>0</v>
      </c>
      <c r="AJ25" s="34"/>
      <c r="AK25" s="32"/>
      <c r="AL25" s="33">
        <v>0</v>
      </c>
      <c r="AM25" s="34"/>
    </row>
    <row r="26" spans="1:39" x14ac:dyDescent="0.25">
      <c r="A26" s="36">
        <v>6</v>
      </c>
      <c r="B26" s="49" t="s">
        <v>33</v>
      </c>
      <c r="C26" s="50">
        <v>3478000</v>
      </c>
      <c r="D26" s="39"/>
      <c r="E26" s="40">
        <f>1/12*100</f>
        <v>8.3333333333333321</v>
      </c>
      <c r="F26" s="41"/>
      <c r="G26" s="39"/>
      <c r="H26" s="40">
        <f>2/12*100</f>
        <v>16.666666666666664</v>
      </c>
      <c r="I26" s="41"/>
      <c r="J26" s="39"/>
      <c r="K26" s="40">
        <f>3/12*100</f>
        <v>25</v>
      </c>
      <c r="L26" s="41"/>
      <c r="M26" s="39"/>
      <c r="N26" s="40">
        <f>4/12*100</f>
        <v>33.333333333333329</v>
      </c>
      <c r="O26" s="41"/>
      <c r="P26" s="39"/>
      <c r="Q26" s="40">
        <f>5/12*100</f>
        <v>41.666666666666671</v>
      </c>
      <c r="R26" s="41"/>
      <c r="S26" s="39"/>
      <c r="T26" s="40">
        <f>6/12*100</f>
        <v>50</v>
      </c>
      <c r="U26" s="41"/>
      <c r="V26" s="39"/>
      <c r="W26" s="40">
        <f>7/12*100</f>
        <v>58.333333333333336</v>
      </c>
      <c r="X26" s="41"/>
      <c r="Y26" s="39"/>
      <c r="Z26" s="40">
        <f>8/12*100</f>
        <v>66.666666666666657</v>
      </c>
      <c r="AA26" s="41"/>
      <c r="AB26" s="39"/>
      <c r="AC26" s="40">
        <f>9/12*100</f>
        <v>75</v>
      </c>
      <c r="AD26" s="41"/>
      <c r="AE26" s="39"/>
      <c r="AF26" s="40">
        <f>10/12*100</f>
        <v>83.333333333333343</v>
      </c>
      <c r="AG26" s="41"/>
      <c r="AH26" s="39"/>
      <c r="AI26" s="40">
        <f>11/12*100</f>
        <v>91.666666666666657</v>
      </c>
      <c r="AJ26" s="41"/>
      <c r="AK26" s="39"/>
      <c r="AL26" s="40">
        <f>12/12*100</f>
        <v>100</v>
      </c>
      <c r="AM26" s="41"/>
    </row>
    <row r="27" spans="1:39" x14ac:dyDescent="0.25">
      <c r="A27" s="13"/>
      <c r="B27" s="51"/>
      <c r="C27" s="24"/>
      <c r="D27" s="25">
        <f>0/6324500*100</f>
        <v>0</v>
      </c>
      <c r="E27" s="26"/>
      <c r="F27" s="27">
        <f>U26</f>
        <v>0</v>
      </c>
      <c r="G27" s="25">
        <f>608000/C26*100</f>
        <v>17.481311098332377</v>
      </c>
      <c r="H27" s="26"/>
      <c r="I27" s="27">
        <f>H28</f>
        <v>17.481311098332377</v>
      </c>
      <c r="J27" s="25">
        <f>485000/3478000*100</f>
        <v>13.944795859689476</v>
      </c>
      <c r="K27" s="26"/>
      <c r="L27" s="27">
        <f>K28</f>
        <v>31.426106958021855</v>
      </c>
      <c r="M27" s="25">
        <v>0</v>
      </c>
      <c r="N27" s="26"/>
      <c r="O27" s="27">
        <f>N28</f>
        <v>31.426106958021855</v>
      </c>
      <c r="P27" s="25">
        <f>455000/C26*100</f>
        <v>13.082231167337548</v>
      </c>
      <c r="Q27" s="26"/>
      <c r="R27" s="27">
        <f>Q28</f>
        <v>44.508338125359401</v>
      </c>
      <c r="S27" s="25">
        <f>450000/C26*100</f>
        <v>12.938470385278897</v>
      </c>
      <c r="T27" s="26"/>
      <c r="U27" s="27">
        <f>T28</f>
        <v>57.446808510638306</v>
      </c>
      <c r="V27" s="25">
        <v>0</v>
      </c>
      <c r="W27" s="26"/>
      <c r="X27" s="27">
        <v>0</v>
      </c>
      <c r="Y27" s="25">
        <v>0</v>
      </c>
      <c r="Z27" s="26"/>
      <c r="AA27" s="27">
        <v>0</v>
      </c>
      <c r="AB27" s="25">
        <v>0</v>
      </c>
      <c r="AC27" s="26"/>
      <c r="AD27" s="27">
        <v>0</v>
      </c>
      <c r="AE27" s="25">
        <v>0</v>
      </c>
      <c r="AF27" s="26"/>
      <c r="AG27" s="27">
        <v>0</v>
      </c>
      <c r="AH27" s="25">
        <v>0</v>
      </c>
      <c r="AI27" s="26"/>
      <c r="AJ27" s="27">
        <f>AI28</f>
        <v>0</v>
      </c>
      <c r="AK27" s="25">
        <v>0</v>
      </c>
      <c r="AL27" s="26"/>
      <c r="AM27" s="27">
        <v>0</v>
      </c>
    </row>
    <row r="28" spans="1:39" x14ac:dyDescent="0.25">
      <c r="A28" s="30"/>
      <c r="B28" s="52"/>
      <c r="C28" s="31"/>
      <c r="D28" s="32"/>
      <c r="E28" s="33">
        <f>R28</f>
        <v>0</v>
      </c>
      <c r="F28" s="34"/>
      <c r="G28" s="32"/>
      <c r="H28" s="33">
        <f>D27+G27</f>
        <v>17.481311098332377</v>
      </c>
      <c r="I28" s="34"/>
      <c r="J28" s="32"/>
      <c r="K28" s="33">
        <f>D27+G27+J27</f>
        <v>31.426106958021855</v>
      </c>
      <c r="L28" s="34"/>
      <c r="M28" s="32"/>
      <c r="N28" s="33">
        <f>1093000/C26*100</f>
        <v>31.426106958021855</v>
      </c>
      <c r="O28" s="34"/>
      <c r="P28" s="32"/>
      <c r="Q28" s="33">
        <f>1548000/C26*100</f>
        <v>44.508338125359401</v>
      </c>
      <c r="R28" s="34"/>
      <c r="S28" s="32"/>
      <c r="T28" s="33">
        <f>1998000/C26*100</f>
        <v>57.446808510638306</v>
      </c>
      <c r="U28" s="34"/>
      <c r="V28" s="32"/>
      <c r="W28" s="33">
        <v>0</v>
      </c>
      <c r="X28" s="34"/>
      <c r="Y28" s="32"/>
      <c r="Z28" s="33">
        <v>0</v>
      </c>
      <c r="AA28" s="34"/>
      <c r="AB28" s="32"/>
      <c r="AC28" s="33">
        <v>0</v>
      </c>
      <c r="AD28" s="34"/>
      <c r="AE28" s="32"/>
      <c r="AF28" s="33">
        <v>0</v>
      </c>
      <c r="AG28" s="34"/>
      <c r="AH28" s="32"/>
      <c r="AI28" s="33">
        <v>0</v>
      </c>
      <c r="AJ28" s="34"/>
      <c r="AK28" s="32"/>
      <c r="AL28" s="33">
        <v>0</v>
      </c>
      <c r="AM28" s="34"/>
    </row>
    <row r="29" spans="1:39" x14ac:dyDescent="0.25">
      <c r="A29" s="36">
        <v>7</v>
      </c>
      <c r="B29" s="49" t="s">
        <v>34</v>
      </c>
      <c r="C29" s="50">
        <v>2019000</v>
      </c>
      <c r="D29" s="25"/>
      <c r="E29" s="26">
        <f>1/12*100</f>
        <v>8.3333333333333321</v>
      </c>
      <c r="F29" s="27"/>
      <c r="G29" s="25"/>
      <c r="H29" s="26">
        <f>2/12*100</f>
        <v>16.666666666666664</v>
      </c>
      <c r="I29" s="27"/>
      <c r="J29" s="25"/>
      <c r="K29" s="26">
        <f>3/12*100</f>
        <v>25</v>
      </c>
      <c r="L29" s="27"/>
      <c r="M29" s="25"/>
      <c r="N29" s="26">
        <f>4/12*100</f>
        <v>33.333333333333329</v>
      </c>
      <c r="O29" s="27"/>
      <c r="P29" s="25"/>
      <c r="Q29" s="26">
        <f>5/12*100</f>
        <v>41.666666666666671</v>
      </c>
      <c r="R29" s="27"/>
      <c r="S29" s="25"/>
      <c r="T29" s="26">
        <f>6/12*100</f>
        <v>50</v>
      </c>
      <c r="U29" s="27"/>
      <c r="V29" s="25"/>
      <c r="W29" s="26">
        <f>7/12*100</f>
        <v>58.333333333333336</v>
      </c>
      <c r="X29" s="27"/>
      <c r="Y29" s="25"/>
      <c r="Z29" s="26">
        <f>8/12*100</f>
        <v>66.666666666666657</v>
      </c>
      <c r="AA29" s="27"/>
      <c r="AB29" s="25"/>
      <c r="AC29" s="26">
        <f>9/12*100</f>
        <v>75</v>
      </c>
      <c r="AD29" s="27"/>
      <c r="AE29" s="25"/>
      <c r="AF29" s="26">
        <f>10/12*100</f>
        <v>83.333333333333343</v>
      </c>
      <c r="AG29" s="27"/>
      <c r="AH29" s="25"/>
      <c r="AI29" s="26">
        <f>11/12*100</f>
        <v>91.666666666666657</v>
      </c>
      <c r="AJ29" s="27"/>
      <c r="AK29" s="25"/>
      <c r="AL29" s="26">
        <f>12/12*100</f>
        <v>100</v>
      </c>
      <c r="AM29" s="27"/>
    </row>
    <row r="30" spans="1:39" x14ac:dyDescent="0.25">
      <c r="A30" s="13"/>
      <c r="B30" s="51"/>
      <c r="C30" s="24"/>
      <c r="D30" s="25">
        <f>0/3999000*100</f>
        <v>0</v>
      </c>
      <c r="E30" s="26"/>
      <c r="F30" s="27">
        <f>U29</f>
        <v>0</v>
      </c>
      <c r="G30" s="25">
        <v>0</v>
      </c>
      <c r="H30" s="26"/>
      <c r="I30" s="27">
        <v>0</v>
      </c>
      <c r="J30" s="25">
        <f>300000/2019000*100</f>
        <v>14.858841010401189</v>
      </c>
      <c r="K30" s="26"/>
      <c r="L30" s="27">
        <f>K31</f>
        <v>14.858841010401189</v>
      </c>
      <c r="M30" s="25">
        <v>0</v>
      </c>
      <c r="N30" s="26"/>
      <c r="O30" s="27">
        <f>N31</f>
        <v>14.858841010401189</v>
      </c>
      <c r="P30" s="25">
        <v>0</v>
      </c>
      <c r="Q30" s="26"/>
      <c r="R30" s="27">
        <f>Q31</f>
        <v>14.858841010401189</v>
      </c>
      <c r="S30" s="25">
        <f>900000/C29*100</f>
        <v>44.576523031203571</v>
      </c>
      <c r="T30" s="26"/>
      <c r="U30" s="27">
        <f>T31</f>
        <v>59.435364041604757</v>
      </c>
      <c r="V30" s="25">
        <v>0</v>
      </c>
      <c r="W30" s="26"/>
      <c r="X30" s="27">
        <v>0</v>
      </c>
      <c r="Y30" s="25">
        <v>0</v>
      </c>
      <c r="Z30" s="26"/>
      <c r="AA30" s="27">
        <v>0</v>
      </c>
      <c r="AB30" s="25">
        <v>0</v>
      </c>
      <c r="AC30" s="26"/>
      <c r="AD30" s="27">
        <v>0</v>
      </c>
      <c r="AE30" s="25">
        <v>0</v>
      </c>
      <c r="AF30" s="26"/>
      <c r="AG30" s="27">
        <v>0</v>
      </c>
      <c r="AH30" s="25">
        <v>0</v>
      </c>
      <c r="AI30" s="26"/>
      <c r="AJ30" s="27">
        <v>0</v>
      </c>
      <c r="AK30" s="25">
        <v>0</v>
      </c>
      <c r="AL30" s="26"/>
      <c r="AM30" s="27">
        <f>AL31</f>
        <v>0</v>
      </c>
    </row>
    <row r="31" spans="1:39" x14ac:dyDescent="0.25">
      <c r="A31" s="30"/>
      <c r="B31" s="52"/>
      <c r="C31" s="31"/>
      <c r="D31" s="25"/>
      <c r="E31" s="26">
        <v>0</v>
      </c>
      <c r="F31" s="27"/>
      <c r="G31" s="25"/>
      <c r="H31" s="26">
        <v>0</v>
      </c>
      <c r="I31" s="27"/>
      <c r="J31" s="25"/>
      <c r="K31" s="33">
        <f>D30+G30+J30</f>
        <v>14.858841010401189</v>
      </c>
      <c r="L31" s="27"/>
      <c r="M31" s="25"/>
      <c r="N31" s="26">
        <f>300000/C29*100</f>
        <v>14.858841010401189</v>
      </c>
      <c r="O31" s="27"/>
      <c r="P31" s="25"/>
      <c r="Q31" s="26">
        <f>300000/C29*100</f>
        <v>14.858841010401189</v>
      </c>
      <c r="R31" s="27"/>
      <c r="S31" s="25"/>
      <c r="T31" s="26">
        <f>1200000/C29*100</f>
        <v>59.435364041604757</v>
      </c>
      <c r="U31" s="27"/>
      <c r="V31" s="25"/>
      <c r="W31" s="26">
        <v>0</v>
      </c>
      <c r="X31" s="27"/>
      <c r="Y31" s="25"/>
      <c r="Z31" s="26">
        <v>0</v>
      </c>
      <c r="AA31" s="27"/>
      <c r="AB31" s="25"/>
      <c r="AC31" s="26">
        <v>0</v>
      </c>
      <c r="AD31" s="27"/>
      <c r="AE31" s="25"/>
      <c r="AF31" s="26">
        <v>0</v>
      </c>
      <c r="AG31" s="27"/>
      <c r="AH31" s="25"/>
      <c r="AI31" s="26">
        <v>0</v>
      </c>
      <c r="AJ31" s="27"/>
      <c r="AK31" s="25"/>
      <c r="AL31" s="26">
        <v>0</v>
      </c>
      <c r="AM31" s="27"/>
    </row>
    <row r="32" spans="1:39" ht="15" customHeight="1" x14ac:dyDescent="0.25">
      <c r="A32" s="36">
        <v>8</v>
      </c>
      <c r="B32" s="37" t="s">
        <v>35</v>
      </c>
      <c r="C32" s="24">
        <v>3732200</v>
      </c>
      <c r="D32" s="39"/>
      <c r="E32" s="40">
        <f>1/12*100</f>
        <v>8.3333333333333321</v>
      </c>
      <c r="F32" s="41"/>
      <c r="G32" s="39"/>
      <c r="H32" s="40">
        <f>2/12*100</f>
        <v>16.666666666666664</v>
      </c>
      <c r="I32" s="41"/>
      <c r="J32" s="39"/>
      <c r="K32" s="40">
        <f>3/12*100</f>
        <v>25</v>
      </c>
      <c r="L32" s="41"/>
      <c r="M32" s="39"/>
      <c r="N32" s="40">
        <f>4/12*100</f>
        <v>33.333333333333329</v>
      </c>
      <c r="O32" s="41"/>
      <c r="P32" s="39"/>
      <c r="Q32" s="40">
        <f>4/12*100</f>
        <v>33.333333333333329</v>
      </c>
      <c r="R32" s="41"/>
      <c r="S32" s="39"/>
      <c r="T32" s="40">
        <f>6/12*100</f>
        <v>50</v>
      </c>
      <c r="U32" s="41"/>
      <c r="V32" s="39"/>
      <c r="W32" s="40">
        <f>7/12*100</f>
        <v>58.333333333333336</v>
      </c>
      <c r="X32" s="41"/>
      <c r="Y32" s="39"/>
      <c r="Z32" s="40">
        <f>8/12*100</f>
        <v>66.666666666666657</v>
      </c>
      <c r="AA32" s="41"/>
      <c r="AB32" s="39"/>
      <c r="AC32" s="40">
        <f>9/12*100</f>
        <v>75</v>
      </c>
      <c r="AD32" s="41"/>
      <c r="AE32" s="39"/>
      <c r="AF32" s="40">
        <f>10/12*100</f>
        <v>83.333333333333343</v>
      </c>
      <c r="AG32" s="41"/>
      <c r="AH32" s="39"/>
      <c r="AI32" s="40">
        <f>11/12*100</f>
        <v>91.666666666666657</v>
      </c>
      <c r="AJ32" s="41"/>
      <c r="AK32" s="39"/>
      <c r="AL32" s="40">
        <f>12/12*100</f>
        <v>100</v>
      </c>
      <c r="AM32" s="41"/>
    </row>
    <row r="33" spans="1:39" x14ac:dyDescent="0.25">
      <c r="A33" s="13"/>
      <c r="B33" s="43"/>
      <c r="C33" s="24"/>
      <c r="D33" s="25">
        <f>0/1440000*100</f>
        <v>0</v>
      </c>
      <c r="E33" s="26"/>
      <c r="F33" s="27">
        <f>U32</f>
        <v>0</v>
      </c>
      <c r="G33" s="25">
        <f>517600 /3732200*100</f>
        <v>13.868495793365842</v>
      </c>
      <c r="H33" s="26"/>
      <c r="I33" s="27">
        <f>H34</f>
        <v>13.868495793365842</v>
      </c>
      <c r="J33" s="25">
        <f>1303300/3732200*100</f>
        <v>34.920422271046569</v>
      </c>
      <c r="K33" s="26"/>
      <c r="L33" s="27">
        <f>K34</f>
        <v>48.788918064412414</v>
      </c>
      <c r="M33" s="25">
        <v>0</v>
      </c>
      <c r="N33" s="26"/>
      <c r="O33" s="27">
        <f>N34</f>
        <v>48.788918064412414</v>
      </c>
      <c r="P33" s="25">
        <f>350900/C32*100</f>
        <v>9.4019613096832977</v>
      </c>
      <c r="Q33" s="26"/>
      <c r="R33" s="27">
        <f>O33</f>
        <v>48.788918064412414</v>
      </c>
      <c r="S33" s="25">
        <v>0</v>
      </c>
      <c r="T33" s="26"/>
      <c r="U33" s="27">
        <v>58.2</v>
      </c>
      <c r="V33" s="25">
        <v>0</v>
      </c>
      <c r="W33" s="26"/>
      <c r="X33" s="27">
        <v>0</v>
      </c>
      <c r="Y33" s="25">
        <v>0</v>
      </c>
      <c r="Z33" s="26"/>
      <c r="AA33" s="27">
        <v>0</v>
      </c>
      <c r="AB33" s="25">
        <v>0</v>
      </c>
      <c r="AC33" s="26"/>
      <c r="AD33" s="27">
        <v>0</v>
      </c>
      <c r="AE33" s="25">
        <v>0</v>
      </c>
      <c r="AF33" s="26"/>
      <c r="AG33" s="27">
        <v>0</v>
      </c>
      <c r="AH33" s="25">
        <v>0</v>
      </c>
      <c r="AI33" s="26"/>
      <c r="AJ33" s="27">
        <f>AI34</f>
        <v>0</v>
      </c>
      <c r="AK33" s="25">
        <v>0</v>
      </c>
      <c r="AL33" s="26"/>
      <c r="AM33" s="27">
        <v>0</v>
      </c>
    </row>
    <row r="34" spans="1:39" x14ac:dyDescent="0.25">
      <c r="A34" s="30"/>
      <c r="B34" s="45"/>
      <c r="C34" s="31"/>
      <c r="D34" s="32"/>
      <c r="E34" s="33">
        <v>0</v>
      </c>
      <c r="F34" s="34"/>
      <c r="G34" s="32"/>
      <c r="H34" s="33">
        <f>D33+G33</f>
        <v>13.868495793365842</v>
      </c>
      <c r="I34" s="34"/>
      <c r="J34" s="32"/>
      <c r="K34" s="33">
        <f>D33+G33+J33</f>
        <v>48.788918064412414</v>
      </c>
      <c r="L34" s="34"/>
      <c r="M34" s="32"/>
      <c r="N34" s="33">
        <f>1820900/C32*100</f>
        <v>48.788918064412414</v>
      </c>
      <c r="O34" s="34"/>
      <c r="P34" s="32"/>
      <c r="Q34" s="33">
        <f>2171800/C32*100</f>
        <v>58.190879374095708</v>
      </c>
      <c r="R34" s="34"/>
      <c r="S34" s="32"/>
      <c r="T34" s="33">
        <v>58.2</v>
      </c>
      <c r="U34" s="34"/>
      <c r="V34" s="32"/>
      <c r="W34" s="33">
        <v>0</v>
      </c>
      <c r="X34" s="34"/>
      <c r="Y34" s="32"/>
      <c r="Z34" s="33">
        <v>0</v>
      </c>
      <c r="AA34" s="34"/>
      <c r="AB34" s="32"/>
      <c r="AC34" s="33">
        <v>0</v>
      </c>
      <c r="AD34" s="34"/>
      <c r="AE34" s="32"/>
      <c r="AF34" s="33">
        <v>0</v>
      </c>
      <c r="AG34" s="34"/>
      <c r="AH34" s="32"/>
      <c r="AI34" s="33">
        <v>0</v>
      </c>
      <c r="AJ34" s="34"/>
      <c r="AK34" s="32"/>
      <c r="AL34" s="33">
        <v>0</v>
      </c>
      <c r="AM34" s="34"/>
    </row>
    <row r="35" spans="1:39" ht="15" customHeight="1" x14ac:dyDescent="0.25">
      <c r="A35" s="36">
        <v>9</v>
      </c>
      <c r="B35" s="37" t="s">
        <v>36</v>
      </c>
      <c r="C35" s="38">
        <v>62170000</v>
      </c>
      <c r="D35" s="39"/>
      <c r="E35" s="40">
        <f>1/12*100</f>
        <v>8.3333333333333321</v>
      </c>
      <c r="F35" s="41"/>
      <c r="G35" s="39"/>
      <c r="H35" s="40">
        <f>2/12*100</f>
        <v>16.666666666666664</v>
      </c>
      <c r="I35" s="41"/>
      <c r="J35" s="39"/>
      <c r="K35" s="40">
        <f>3/12*100</f>
        <v>25</v>
      </c>
      <c r="L35" s="41"/>
      <c r="M35" s="39"/>
      <c r="N35" s="40">
        <f>4/12*100</f>
        <v>33.333333333333329</v>
      </c>
      <c r="O35" s="41"/>
      <c r="P35" s="39"/>
      <c r="Q35" s="40">
        <f>5/12*100</f>
        <v>41.666666666666671</v>
      </c>
      <c r="R35" s="41"/>
      <c r="S35" s="39"/>
      <c r="T35" s="40">
        <f>6/12*100</f>
        <v>50</v>
      </c>
      <c r="U35" s="41"/>
      <c r="V35" s="39"/>
      <c r="W35" s="40">
        <f>7/12*100</f>
        <v>58.333333333333336</v>
      </c>
      <c r="X35" s="41"/>
      <c r="Y35" s="39"/>
      <c r="Z35" s="40">
        <f>8/12*100</f>
        <v>66.666666666666657</v>
      </c>
      <c r="AA35" s="41"/>
      <c r="AB35" s="39"/>
      <c r="AC35" s="40">
        <f>9/12*100</f>
        <v>75</v>
      </c>
      <c r="AD35" s="41"/>
      <c r="AE35" s="39"/>
      <c r="AF35" s="40">
        <f>10/12*100</f>
        <v>83.333333333333343</v>
      </c>
      <c r="AG35" s="41"/>
      <c r="AH35" s="39"/>
      <c r="AI35" s="40">
        <f>11/12*100</f>
        <v>91.666666666666657</v>
      </c>
      <c r="AJ35" s="41"/>
      <c r="AK35" s="39"/>
      <c r="AL35" s="40">
        <f>12/12*100</f>
        <v>100</v>
      </c>
      <c r="AM35" s="41"/>
    </row>
    <row r="36" spans="1:39" x14ac:dyDescent="0.25">
      <c r="A36" s="13"/>
      <c r="B36" s="43"/>
      <c r="C36" s="44"/>
      <c r="D36" s="25">
        <f>3000000/62170000*100</f>
        <v>4.8254785266205564</v>
      </c>
      <c r="E36" s="26"/>
      <c r="F36" s="27">
        <v>0</v>
      </c>
      <c r="G36" s="25">
        <f>0/621700000*100</f>
        <v>0</v>
      </c>
      <c r="H36" s="26"/>
      <c r="I36" s="27">
        <f>H37</f>
        <v>4.8254785266205564</v>
      </c>
      <c r="J36" s="25">
        <f>37170000 /62170000*100</f>
        <v>59.787678944828691</v>
      </c>
      <c r="K36" s="26"/>
      <c r="L36" s="27">
        <f>K37</f>
        <v>64.613157471449242</v>
      </c>
      <c r="M36" s="25">
        <v>0</v>
      </c>
      <c r="N36" s="26"/>
      <c r="O36" s="27">
        <f>N37</f>
        <v>64.613157471449256</v>
      </c>
      <c r="P36" s="25">
        <f>3000000/C35*100</f>
        <v>4.8254785266205564</v>
      </c>
      <c r="Q36" s="26"/>
      <c r="R36" s="27">
        <f>Q37</f>
        <v>71.047128840276656</v>
      </c>
      <c r="S36" s="25">
        <f>3000000/C35*100</f>
        <v>4.8254785266205564</v>
      </c>
      <c r="T36" s="26"/>
      <c r="U36" s="27">
        <f>T37</f>
        <v>75.872607366897213</v>
      </c>
      <c r="V36" s="25">
        <v>0</v>
      </c>
      <c r="W36" s="26"/>
      <c r="X36" s="27">
        <v>0</v>
      </c>
      <c r="Y36" s="25">
        <v>0</v>
      </c>
      <c r="Z36" s="26"/>
      <c r="AA36" s="27">
        <v>0</v>
      </c>
      <c r="AB36" s="25">
        <v>0</v>
      </c>
      <c r="AC36" s="26"/>
      <c r="AD36" s="27">
        <f>AC37</f>
        <v>0</v>
      </c>
      <c r="AE36" s="25">
        <v>0</v>
      </c>
      <c r="AF36" s="26"/>
      <c r="AG36" s="27">
        <v>0</v>
      </c>
      <c r="AH36" s="25">
        <v>0</v>
      </c>
      <c r="AI36" s="26"/>
      <c r="AJ36" s="27">
        <v>0</v>
      </c>
      <c r="AK36" s="25">
        <f>6902000/C35*100</f>
        <v>11.101817596911694</v>
      </c>
      <c r="AL36" s="26"/>
      <c r="AM36" s="27">
        <f>AL37</f>
        <v>0</v>
      </c>
    </row>
    <row r="37" spans="1:39" x14ac:dyDescent="0.25">
      <c r="A37" s="30"/>
      <c r="B37" s="45"/>
      <c r="C37" s="46"/>
      <c r="D37" s="32"/>
      <c r="E37" s="33">
        <f>3000000/62170000*100</f>
        <v>4.8254785266205564</v>
      </c>
      <c r="F37" s="34"/>
      <c r="G37" s="32"/>
      <c r="H37" s="33">
        <f>D36+G36</f>
        <v>4.8254785266205564</v>
      </c>
      <c r="I37" s="34"/>
      <c r="J37" s="32"/>
      <c r="K37" s="33">
        <f>D36+G36+J36</f>
        <v>64.613157471449242</v>
      </c>
      <c r="L37" s="34"/>
      <c r="M37" s="32"/>
      <c r="N37" s="33">
        <f>40170000/C35*100</f>
        <v>64.613157471449256</v>
      </c>
      <c r="O37" s="34"/>
      <c r="P37" s="32"/>
      <c r="Q37" s="33">
        <f>44170000/C35*100</f>
        <v>71.047128840276656</v>
      </c>
      <c r="R37" s="34"/>
      <c r="S37" s="32"/>
      <c r="T37" s="33">
        <f>47170000/C35*100</f>
        <v>75.872607366897213</v>
      </c>
      <c r="U37" s="34"/>
      <c r="V37" s="32"/>
      <c r="W37" s="33">
        <v>0</v>
      </c>
      <c r="X37" s="34"/>
      <c r="Y37" s="32"/>
      <c r="Z37" s="33">
        <v>0</v>
      </c>
      <c r="AA37" s="34"/>
      <c r="AB37" s="32"/>
      <c r="AC37" s="33">
        <v>0</v>
      </c>
      <c r="AD37" s="34"/>
      <c r="AE37" s="32"/>
      <c r="AF37" s="33">
        <v>0</v>
      </c>
      <c r="AG37" s="34"/>
      <c r="AH37" s="32"/>
      <c r="AI37" s="33">
        <v>0</v>
      </c>
      <c r="AJ37" s="34"/>
      <c r="AK37" s="32"/>
      <c r="AL37" s="33">
        <v>0</v>
      </c>
      <c r="AM37" s="34"/>
    </row>
    <row r="38" spans="1:39" ht="15" customHeight="1" x14ac:dyDescent="0.25">
      <c r="A38" s="36">
        <v>10</v>
      </c>
      <c r="B38" s="49" t="s">
        <v>37</v>
      </c>
      <c r="C38" s="38">
        <v>58200000</v>
      </c>
      <c r="D38" s="25"/>
      <c r="E38" s="26">
        <f>1/12*100</f>
        <v>8.3333333333333321</v>
      </c>
      <c r="F38" s="27"/>
      <c r="G38" s="25"/>
      <c r="H38" s="26">
        <f>2/12*100</f>
        <v>16.666666666666664</v>
      </c>
      <c r="I38" s="27"/>
      <c r="J38" s="25"/>
      <c r="K38" s="26">
        <f>3/12*100</f>
        <v>25</v>
      </c>
      <c r="L38" s="27"/>
      <c r="M38" s="25"/>
      <c r="N38" s="53">
        <f>4/12*100</f>
        <v>33.333333333333329</v>
      </c>
      <c r="O38" s="54"/>
      <c r="P38" s="29"/>
      <c r="Q38" s="53">
        <f>5/12*100</f>
        <v>41.666666666666671</v>
      </c>
      <c r="R38" s="54"/>
      <c r="S38" s="29"/>
      <c r="T38" s="53">
        <f>6/12*100</f>
        <v>50</v>
      </c>
      <c r="U38" s="54"/>
      <c r="V38" s="29"/>
      <c r="W38" s="53">
        <f>7/12*100</f>
        <v>58.333333333333336</v>
      </c>
      <c r="X38" s="54"/>
      <c r="Y38" s="29"/>
      <c r="Z38" s="53">
        <f>8/12*100</f>
        <v>66.666666666666657</v>
      </c>
      <c r="AA38" s="54"/>
      <c r="AB38" s="29"/>
      <c r="AC38" s="26">
        <f>9/12*100</f>
        <v>75</v>
      </c>
      <c r="AD38" s="54"/>
      <c r="AE38" s="29"/>
      <c r="AF38" s="53">
        <f>10/12*100</f>
        <v>83.333333333333343</v>
      </c>
      <c r="AG38" s="27"/>
      <c r="AH38" s="25"/>
      <c r="AI38" s="26">
        <f>11/12*100</f>
        <v>91.666666666666657</v>
      </c>
      <c r="AJ38" s="27"/>
      <c r="AK38" s="25"/>
      <c r="AL38" s="26">
        <f>12/12*100</f>
        <v>100</v>
      </c>
      <c r="AM38" s="27"/>
    </row>
    <row r="39" spans="1:39" x14ac:dyDescent="0.25">
      <c r="A39" s="13"/>
      <c r="B39" s="55"/>
      <c r="C39" s="44"/>
      <c r="D39" s="25">
        <f>4700000/58200000*100</f>
        <v>8.0756013745704465</v>
      </c>
      <c r="E39" s="26"/>
      <c r="F39" s="27">
        <f>U38</f>
        <v>0</v>
      </c>
      <c r="G39" s="25">
        <f>4850000/58200000*100</f>
        <v>8.3333333333333321</v>
      </c>
      <c r="H39" s="26"/>
      <c r="I39" s="27">
        <f>H40</f>
        <v>16.408934707903779</v>
      </c>
      <c r="J39" s="25">
        <f>4850000/C38*100</f>
        <v>8.3333333333333321</v>
      </c>
      <c r="K39" s="26"/>
      <c r="L39" s="27">
        <f>K40</f>
        <v>24.742268041237114</v>
      </c>
      <c r="M39" s="25">
        <v>0</v>
      </c>
      <c r="N39" s="26"/>
      <c r="O39" s="27">
        <f>N40</f>
        <v>24.742268041237114</v>
      </c>
      <c r="P39" s="56">
        <f>4850000/C38*100</f>
        <v>8.3333333333333321</v>
      </c>
      <c r="Q39" s="26"/>
      <c r="R39" s="27">
        <f>Q40</f>
        <v>41.408934707903782</v>
      </c>
      <c r="S39" s="56">
        <v>8.3000000000000007</v>
      </c>
      <c r="T39" s="26"/>
      <c r="U39" s="27">
        <f>T40</f>
        <v>49.742268041237111</v>
      </c>
      <c r="V39" s="25">
        <v>0</v>
      </c>
      <c r="W39" s="26"/>
      <c r="X39" s="27">
        <v>0</v>
      </c>
      <c r="Y39" s="25">
        <v>0</v>
      </c>
      <c r="Z39" s="26"/>
      <c r="AA39" s="27">
        <f>Z40</f>
        <v>0</v>
      </c>
      <c r="AB39" s="25">
        <v>0</v>
      </c>
      <c r="AC39" s="26"/>
      <c r="AD39" s="27">
        <v>0</v>
      </c>
      <c r="AE39" s="25">
        <v>0</v>
      </c>
      <c r="AF39" s="26"/>
      <c r="AG39" s="27">
        <v>0</v>
      </c>
      <c r="AH39" s="25">
        <v>0</v>
      </c>
      <c r="AI39" s="26"/>
      <c r="AJ39" s="27">
        <f>AI40</f>
        <v>0</v>
      </c>
      <c r="AK39" s="25">
        <v>0</v>
      </c>
      <c r="AL39" s="26"/>
      <c r="AM39" s="27">
        <f>AL40</f>
        <v>0</v>
      </c>
    </row>
    <row r="40" spans="1:39" x14ac:dyDescent="0.25">
      <c r="A40" s="30"/>
      <c r="B40" s="57"/>
      <c r="C40" s="46"/>
      <c r="D40" s="32"/>
      <c r="E40" s="33">
        <f>4700000/58200000*100</f>
        <v>8.0756013745704465</v>
      </c>
      <c r="F40" s="34"/>
      <c r="G40" s="32"/>
      <c r="H40" s="33">
        <f>D39+G39</f>
        <v>16.408934707903779</v>
      </c>
      <c r="I40" s="34"/>
      <c r="J40" s="32"/>
      <c r="K40" s="33">
        <f>14400000/C38*100</f>
        <v>24.742268041237114</v>
      </c>
      <c r="L40" s="34"/>
      <c r="M40" s="32"/>
      <c r="N40" s="33">
        <f>14400000/C38*100</f>
        <v>24.742268041237114</v>
      </c>
      <c r="O40" s="34"/>
      <c r="P40" s="32"/>
      <c r="Q40" s="33">
        <f>24100000/C38*100</f>
        <v>41.408934707903782</v>
      </c>
      <c r="R40" s="34"/>
      <c r="S40" s="32"/>
      <c r="T40" s="33">
        <f>28950000/C38*100</f>
        <v>49.742268041237111</v>
      </c>
      <c r="U40" s="34"/>
      <c r="V40" s="32"/>
      <c r="W40" s="33">
        <v>0</v>
      </c>
      <c r="X40" s="34"/>
      <c r="Y40" s="32"/>
      <c r="Z40" s="33">
        <v>0</v>
      </c>
      <c r="AA40" s="34"/>
      <c r="AB40" s="32"/>
      <c r="AC40" s="33">
        <v>0</v>
      </c>
      <c r="AD40" s="34"/>
      <c r="AE40" s="32"/>
      <c r="AF40" s="33">
        <v>0</v>
      </c>
      <c r="AG40" s="34"/>
      <c r="AH40" s="32"/>
      <c r="AI40" s="33">
        <v>0</v>
      </c>
      <c r="AJ40" s="34"/>
      <c r="AK40" s="32"/>
      <c r="AL40" s="33">
        <v>0</v>
      </c>
      <c r="AM40" s="34"/>
    </row>
    <row r="41" spans="1:39" ht="15" customHeight="1" x14ac:dyDescent="0.25">
      <c r="A41" s="36">
        <v>11</v>
      </c>
      <c r="B41" s="37" t="s">
        <v>38</v>
      </c>
      <c r="C41" s="50">
        <v>25800000</v>
      </c>
      <c r="D41" s="39"/>
      <c r="E41" s="48">
        <f>1/12*100</f>
        <v>8.3333333333333321</v>
      </c>
      <c r="F41" s="41"/>
      <c r="G41" s="39"/>
      <c r="H41" s="40">
        <f>2/12*100</f>
        <v>16.666666666666664</v>
      </c>
      <c r="I41" s="41"/>
      <c r="J41" s="39"/>
      <c r="K41" s="40">
        <f>3/12*100</f>
        <v>25</v>
      </c>
      <c r="L41" s="41"/>
      <c r="M41" s="39"/>
      <c r="N41" s="40">
        <f>4/12*100</f>
        <v>33.333333333333329</v>
      </c>
      <c r="O41" s="41"/>
      <c r="P41" s="39"/>
      <c r="Q41" s="40">
        <f>5/12*100</f>
        <v>41.666666666666671</v>
      </c>
      <c r="R41" s="41"/>
      <c r="S41" s="39"/>
      <c r="T41" s="40">
        <f>6/12*100</f>
        <v>50</v>
      </c>
      <c r="U41" s="41"/>
      <c r="V41" s="39"/>
      <c r="W41" s="40">
        <f>7/12*100</f>
        <v>58.333333333333336</v>
      </c>
      <c r="X41" s="41"/>
      <c r="Y41" s="39"/>
      <c r="Z41" s="40">
        <f>8/12*100</f>
        <v>66.666666666666657</v>
      </c>
      <c r="AA41" s="41"/>
      <c r="AB41" s="39"/>
      <c r="AC41" s="40">
        <f>9/12*100</f>
        <v>75</v>
      </c>
      <c r="AD41" s="41"/>
      <c r="AE41" s="39"/>
      <c r="AF41" s="40">
        <f>10/12*100</f>
        <v>83.333333333333343</v>
      </c>
      <c r="AG41" s="41"/>
      <c r="AH41" s="39"/>
      <c r="AI41" s="40">
        <f>11/12*100</f>
        <v>91.666666666666657</v>
      </c>
      <c r="AJ41" s="41"/>
      <c r="AK41" s="39"/>
      <c r="AL41" s="40">
        <f>12/12*100</f>
        <v>100</v>
      </c>
      <c r="AM41" s="41"/>
    </row>
    <row r="42" spans="1:39" x14ac:dyDescent="0.25">
      <c r="A42" s="13"/>
      <c r="B42" s="43"/>
      <c r="C42" s="24"/>
      <c r="D42" s="25">
        <f>1793431/25800000*100</f>
        <v>6.951282945736434</v>
      </c>
      <c r="E42" s="26"/>
      <c r="F42" s="27">
        <f>U41</f>
        <v>0</v>
      </c>
      <c r="G42" s="25">
        <f>1775973/25800000*100</f>
        <v>6.8836162790697681</v>
      </c>
      <c r="H42" s="26"/>
      <c r="I42" s="27">
        <f>H43</f>
        <v>13.834899224806202</v>
      </c>
      <c r="J42" s="25">
        <f>1580057/25800000*100</f>
        <v>6.1242519379844964</v>
      </c>
      <c r="K42" s="26"/>
      <c r="L42" s="27">
        <f>K43</f>
        <v>19.959151162790697</v>
      </c>
      <c r="M42" s="25">
        <v>0</v>
      </c>
      <c r="N42" s="26"/>
      <c r="O42" s="27">
        <f>N43</f>
        <v>19.959151162790697</v>
      </c>
      <c r="P42" s="25">
        <f>1734732/C41*100</f>
        <v>6.7237674418604652</v>
      </c>
      <c r="Q42" s="26"/>
      <c r="R42" s="27">
        <f>Q43</f>
        <v>33.616065891472871</v>
      </c>
      <c r="S42" s="29">
        <f>1780743/C41*100</f>
        <v>6.9021046511627908</v>
      </c>
      <c r="T42" s="26"/>
      <c r="U42" s="27">
        <f>T43</f>
        <v>40.518170542635659</v>
      </c>
      <c r="V42" s="25">
        <v>0</v>
      </c>
      <c r="W42" s="26"/>
      <c r="X42" s="27">
        <v>0</v>
      </c>
      <c r="Y42" s="29">
        <v>0</v>
      </c>
      <c r="Z42" s="26"/>
      <c r="AA42" s="27">
        <v>0</v>
      </c>
      <c r="AB42" s="29">
        <v>0</v>
      </c>
      <c r="AC42" s="26"/>
      <c r="AD42" s="27">
        <v>0</v>
      </c>
      <c r="AE42" s="29">
        <v>0</v>
      </c>
      <c r="AF42" s="26"/>
      <c r="AG42" s="27">
        <v>0</v>
      </c>
      <c r="AH42" s="25">
        <v>0</v>
      </c>
      <c r="AI42" s="26"/>
      <c r="AJ42" s="27">
        <v>0</v>
      </c>
      <c r="AK42" s="25">
        <v>0</v>
      </c>
      <c r="AL42" s="26"/>
      <c r="AM42" s="27">
        <v>0</v>
      </c>
    </row>
    <row r="43" spans="1:39" x14ac:dyDescent="0.25">
      <c r="A43" s="30"/>
      <c r="B43" s="45"/>
      <c r="C43" s="31"/>
      <c r="D43" s="32"/>
      <c r="E43" s="33">
        <f>1793431/25800000*100</f>
        <v>6.951282945736434</v>
      </c>
      <c r="F43" s="34"/>
      <c r="G43" s="32"/>
      <c r="H43" s="33">
        <f>D42+G42</f>
        <v>13.834899224806202</v>
      </c>
      <c r="I43" s="34"/>
      <c r="J43" s="32"/>
      <c r="K43" s="33">
        <f>D42+G42+J42</f>
        <v>19.959151162790697</v>
      </c>
      <c r="L43" s="34"/>
      <c r="M43" s="32"/>
      <c r="N43" s="33">
        <f>5149461/C41*100</f>
        <v>19.959151162790697</v>
      </c>
      <c r="O43" s="34"/>
      <c r="P43" s="32"/>
      <c r="Q43" s="33">
        <f>8672945/C41*100</f>
        <v>33.616065891472871</v>
      </c>
      <c r="R43" s="34"/>
      <c r="S43" s="32"/>
      <c r="T43" s="33">
        <f>10453688/C41*100</f>
        <v>40.518170542635659</v>
      </c>
      <c r="U43" s="34"/>
      <c r="V43" s="32"/>
      <c r="W43" s="33">
        <v>0</v>
      </c>
      <c r="X43" s="34"/>
      <c r="Y43" s="32"/>
      <c r="Z43" s="33">
        <v>0</v>
      </c>
      <c r="AA43" s="34"/>
      <c r="AB43" s="32"/>
      <c r="AC43" s="33">
        <v>0</v>
      </c>
      <c r="AD43" s="34"/>
      <c r="AE43" s="32"/>
      <c r="AF43" s="33">
        <v>0</v>
      </c>
      <c r="AG43" s="34"/>
      <c r="AH43" s="32"/>
      <c r="AI43" s="33">
        <v>0</v>
      </c>
      <c r="AJ43" s="34"/>
      <c r="AK43" s="32"/>
      <c r="AL43" s="33">
        <v>0</v>
      </c>
      <c r="AM43" s="34"/>
    </row>
    <row r="44" spans="1:39" ht="15" customHeight="1" x14ac:dyDescent="0.25">
      <c r="A44" s="36">
        <v>12</v>
      </c>
      <c r="B44" s="58" t="s">
        <v>39</v>
      </c>
      <c r="C44" s="50">
        <v>76560000</v>
      </c>
      <c r="D44" s="25"/>
      <c r="E44" s="26">
        <f>1/12*100</f>
        <v>8.3333333333333321</v>
      </c>
      <c r="F44" s="27"/>
      <c r="G44" s="25"/>
      <c r="H44" s="26">
        <f>2/12*100</f>
        <v>16.666666666666664</v>
      </c>
      <c r="I44" s="27"/>
      <c r="J44" s="25"/>
      <c r="K44" s="26">
        <f>3/12*100</f>
        <v>25</v>
      </c>
      <c r="L44" s="27"/>
      <c r="M44" s="25"/>
      <c r="N44" s="26">
        <f>4/12*100</f>
        <v>33.333333333333329</v>
      </c>
      <c r="O44" s="27"/>
      <c r="P44" s="25"/>
      <c r="Q44" s="26">
        <f>5/12*100</f>
        <v>41.666666666666671</v>
      </c>
      <c r="R44" s="27"/>
      <c r="S44" s="25"/>
      <c r="T44" s="26">
        <f>6/12*100</f>
        <v>50</v>
      </c>
      <c r="U44" s="27"/>
      <c r="V44" s="25"/>
      <c r="W44" s="26">
        <f>7/12*100</f>
        <v>58.333333333333336</v>
      </c>
      <c r="X44" s="27"/>
      <c r="Y44" s="25"/>
      <c r="Z44" s="26">
        <f>8/12*100</f>
        <v>66.666666666666657</v>
      </c>
      <c r="AA44" s="27"/>
      <c r="AB44" s="25"/>
      <c r="AC44" s="26">
        <f>9/12*100</f>
        <v>75</v>
      </c>
      <c r="AD44" s="27"/>
      <c r="AE44" s="25"/>
      <c r="AF44" s="26">
        <f>10/12*100</f>
        <v>83.333333333333343</v>
      </c>
      <c r="AG44" s="27"/>
      <c r="AH44" s="25"/>
      <c r="AI44" s="26">
        <f>11/12*100</f>
        <v>91.666666666666657</v>
      </c>
      <c r="AJ44" s="27"/>
      <c r="AK44" s="25"/>
      <c r="AL44" s="26">
        <f>12/12*100</f>
        <v>100</v>
      </c>
      <c r="AM44" s="27"/>
    </row>
    <row r="45" spans="1:39" x14ac:dyDescent="0.25">
      <c r="A45" s="13"/>
      <c r="B45" s="51"/>
      <c r="C45" s="24"/>
      <c r="D45" s="25">
        <f>6380000 /76560000*100</f>
        <v>8.3333333333333321</v>
      </c>
      <c r="E45" s="26"/>
      <c r="F45" s="27">
        <f>U44</f>
        <v>0</v>
      </c>
      <c r="G45" s="25">
        <f>6380000 /76560000*100</f>
        <v>8.3333333333333321</v>
      </c>
      <c r="H45" s="26"/>
      <c r="I45" s="27">
        <f>H46</f>
        <v>16.666666666666664</v>
      </c>
      <c r="J45" s="25">
        <f>6380000/76560000*100</f>
        <v>8.3333333333333321</v>
      </c>
      <c r="K45" s="26"/>
      <c r="L45" s="27">
        <f>K46</f>
        <v>25</v>
      </c>
      <c r="M45" s="25">
        <v>0</v>
      </c>
      <c r="N45" s="26"/>
      <c r="O45" s="27">
        <f>N46</f>
        <v>25</v>
      </c>
      <c r="P45" s="25">
        <f>6380000/C44*100</f>
        <v>8.3333333333333321</v>
      </c>
      <c r="Q45" s="26"/>
      <c r="R45" s="27">
        <f>Q46</f>
        <v>41.666666666666671</v>
      </c>
      <c r="S45" s="25">
        <f>6380000/C44*100</f>
        <v>8.3333333333333321</v>
      </c>
      <c r="T45" s="26"/>
      <c r="U45" s="27">
        <f>T46</f>
        <v>50</v>
      </c>
      <c r="V45" s="25">
        <v>0</v>
      </c>
      <c r="W45" s="26"/>
      <c r="X45" s="27">
        <v>0</v>
      </c>
      <c r="Y45" s="25">
        <v>0</v>
      </c>
      <c r="Z45" s="26"/>
      <c r="AA45" s="27">
        <f>Z46</f>
        <v>0</v>
      </c>
      <c r="AB45" s="25">
        <v>0</v>
      </c>
      <c r="AC45" s="26"/>
      <c r="AD45" s="27">
        <f>AC46</f>
        <v>0</v>
      </c>
      <c r="AE45" s="25">
        <v>0</v>
      </c>
      <c r="AF45" s="26"/>
      <c r="AG45" s="27">
        <v>0</v>
      </c>
      <c r="AH45" s="25">
        <v>0</v>
      </c>
      <c r="AI45" s="26"/>
      <c r="AJ45" s="27">
        <f>AI46</f>
        <v>0</v>
      </c>
      <c r="AK45" s="25">
        <v>0</v>
      </c>
      <c r="AL45" s="26"/>
      <c r="AM45" s="27">
        <f>AL46</f>
        <v>0</v>
      </c>
    </row>
    <row r="46" spans="1:39" ht="16.5" customHeight="1" x14ac:dyDescent="0.25">
      <c r="A46" s="30"/>
      <c r="B46" s="52"/>
      <c r="C46" s="31"/>
      <c r="D46" s="25"/>
      <c r="E46" s="33">
        <f>6380000 /58194700*100</f>
        <v>10.963197679513769</v>
      </c>
      <c r="F46" s="27"/>
      <c r="G46" s="25"/>
      <c r="H46" s="26">
        <f>12760000/C44*100</f>
        <v>16.666666666666664</v>
      </c>
      <c r="I46" s="27"/>
      <c r="J46" s="25"/>
      <c r="K46" s="33">
        <f>19140000/C44*100</f>
        <v>25</v>
      </c>
      <c r="L46" s="27"/>
      <c r="M46" s="25"/>
      <c r="N46" s="26">
        <f>19140000/C44*100</f>
        <v>25</v>
      </c>
      <c r="O46" s="27"/>
      <c r="P46" s="25"/>
      <c r="Q46" s="26">
        <f>31900000/C44*100</f>
        <v>41.666666666666671</v>
      </c>
      <c r="R46" s="27"/>
      <c r="S46" s="25"/>
      <c r="T46" s="26">
        <f>38280000/C44*100</f>
        <v>50</v>
      </c>
      <c r="U46" s="27"/>
      <c r="V46" s="25"/>
      <c r="W46" s="26">
        <v>0</v>
      </c>
      <c r="X46" s="27"/>
      <c r="Y46" s="25"/>
      <c r="Z46" s="26">
        <v>0</v>
      </c>
      <c r="AA46" s="27"/>
      <c r="AB46" s="25"/>
      <c r="AC46" s="26">
        <v>0</v>
      </c>
      <c r="AD46" s="27"/>
      <c r="AE46" s="25"/>
      <c r="AF46" s="26">
        <v>0</v>
      </c>
      <c r="AG46" s="27"/>
      <c r="AH46" s="25"/>
      <c r="AI46" s="26">
        <v>0</v>
      </c>
      <c r="AJ46" s="27"/>
      <c r="AK46" s="25"/>
      <c r="AL46" s="26">
        <v>0</v>
      </c>
      <c r="AM46" s="27"/>
    </row>
    <row r="47" spans="1:39" ht="15" customHeight="1" x14ac:dyDescent="0.25">
      <c r="A47" s="36">
        <v>13</v>
      </c>
      <c r="B47" s="37" t="s">
        <v>40</v>
      </c>
      <c r="C47" s="38">
        <v>38879500</v>
      </c>
      <c r="D47" s="39"/>
      <c r="E47" s="48">
        <f>1/12*100</f>
        <v>8.3333333333333321</v>
      </c>
      <c r="F47" s="41"/>
      <c r="G47" s="39"/>
      <c r="H47" s="40">
        <f>2/12*100</f>
        <v>16.666666666666664</v>
      </c>
      <c r="I47" s="41"/>
      <c r="J47" s="39"/>
      <c r="K47" s="40">
        <f>3/12*100</f>
        <v>25</v>
      </c>
      <c r="L47" s="41"/>
      <c r="M47" s="39"/>
      <c r="N47" s="40">
        <f>4/12*100</f>
        <v>33.333333333333329</v>
      </c>
      <c r="O47" s="41"/>
      <c r="P47" s="39"/>
      <c r="Q47" s="40">
        <f>5/12*100</f>
        <v>41.666666666666671</v>
      </c>
      <c r="R47" s="41"/>
      <c r="S47" s="39"/>
      <c r="T47" s="40">
        <f>6/12*100</f>
        <v>50</v>
      </c>
      <c r="U47" s="41"/>
      <c r="V47" s="39"/>
      <c r="W47" s="40">
        <f>7/12*100</f>
        <v>58.333333333333336</v>
      </c>
      <c r="X47" s="41"/>
      <c r="Y47" s="39"/>
      <c r="Z47" s="40">
        <f>8/12*100</f>
        <v>66.666666666666657</v>
      </c>
      <c r="AA47" s="41"/>
      <c r="AB47" s="39"/>
      <c r="AC47" s="40">
        <f>9/12*100</f>
        <v>75</v>
      </c>
      <c r="AD47" s="41"/>
      <c r="AE47" s="39"/>
      <c r="AF47" s="40">
        <f>10/12*100</f>
        <v>83.333333333333343</v>
      </c>
      <c r="AG47" s="41"/>
      <c r="AH47" s="39"/>
      <c r="AI47" s="40">
        <f>11/12*100</f>
        <v>91.666666666666657</v>
      </c>
      <c r="AJ47" s="41"/>
      <c r="AK47" s="39"/>
      <c r="AL47" s="40">
        <f>12/12*100</f>
        <v>100</v>
      </c>
      <c r="AM47" s="41"/>
    </row>
    <row r="48" spans="1:39" ht="15.75" customHeight="1" x14ac:dyDescent="0.25">
      <c r="A48" s="13"/>
      <c r="B48" s="43"/>
      <c r="C48" s="44"/>
      <c r="D48" s="25">
        <f>0/21000000*100</f>
        <v>0</v>
      </c>
      <c r="E48" s="26"/>
      <c r="F48" s="27">
        <f>U47</f>
        <v>0</v>
      </c>
      <c r="G48" s="25">
        <f>2150000 /38879500*100</f>
        <v>5.5299065059993051</v>
      </c>
      <c r="H48" s="26"/>
      <c r="I48" s="27">
        <f>H49</f>
        <v>5.5299065059993051</v>
      </c>
      <c r="J48" s="25">
        <f>3072500/38879500*100</f>
        <v>7.9026222045036594</v>
      </c>
      <c r="K48" s="26"/>
      <c r="L48" s="27">
        <f>K49</f>
        <v>13.432528710502964</v>
      </c>
      <c r="M48" s="25">
        <v>0</v>
      </c>
      <c r="N48" s="26"/>
      <c r="O48" s="27">
        <f>N49</f>
        <v>13.432528710502964</v>
      </c>
      <c r="P48" s="25">
        <f>2000000/C47*100</f>
        <v>5.1440990753481914</v>
      </c>
      <c r="Q48" s="26"/>
      <c r="R48" s="27">
        <f>Q49</f>
        <v>27.501639681580269</v>
      </c>
      <c r="S48" s="25">
        <f>3102500/C47*100</f>
        <v>7.9797836906338819</v>
      </c>
      <c r="T48" s="26"/>
      <c r="U48" s="27">
        <f>T49</f>
        <v>35.481423372214152</v>
      </c>
      <c r="V48" s="25">
        <v>0</v>
      </c>
      <c r="W48" s="26"/>
      <c r="X48" s="27">
        <v>0</v>
      </c>
      <c r="Y48" s="25">
        <v>0</v>
      </c>
      <c r="Z48" s="26"/>
      <c r="AA48" s="27">
        <v>0</v>
      </c>
      <c r="AB48" s="25">
        <v>0</v>
      </c>
      <c r="AC48" s="26"/>
      <c r="AD48" s="27">
        <f>AC49</f>
        <v>0</v>
      </c>
      <c r="AE48" s="25">
        <v>0</v>
      </c>
      <c r="AF48" s="26"/>
      <c r="AG48" s="27">
        <v>0</v>
      </c>
      <c r="AH48" s="25">
        <v>0</v>
      </c>
      <c r="AI48" s="26"/>
      <c r="AJ48" s="27">
        <f>AI49</f>
        <v>0</v>
      </c>
      <c r="AK48" s="25">
        <v>0</v>
      </c>
      <c r="AL48" s="26"/>
      <c r="AM48" s="27">
        <f>AL49</f>
        <v>0</v>
      </c>
    </row>
    <row r="49" spans="1:39" ht="20.25" customHeight="1" x14ac:dyDescent="0.25">
      <c r="A49" s="30"/>
      <c r="B49" s="45"/>
      <c r="C49" s="46"/>
      <c r="D49" s="32"/>
      <c r="E49" s="33">
        <f>R49</f>
        <v>0</v>
      </c>
      <c r="F49" s="34"/>
      <c r="G49" s="32"/>
      <c r="H49" s="33">
        <f>D48+G48</f>
        <v>5.5299065059993051</v>
      </c>
      <c r="I49" s="34"/>
      <c r="J49" s="32"/>
      <c r="K49" s="33">
        <f>D48+G48+J48</f>
        <v>13.432528710502964</v>
      </c>
      <c r="L49" s="34"/>
      <c r="M49" s="32"/>
      <c r="N49" s="33">
        <f>5222500/C47*100</f>
        <v>13.432528710502964</v>
      </c>
      <c r="O49" s="34"/>
      <c r="P49" s="32"/>
      <c r="Q49" s="33">
        <f>10692500/C47*100</f>
        <v>27.501639681580269</v>
      </c>
      <c r="R49" s="34"/>
      <c r="S49" s="32"/>
      <c r="T49" s="33">
        <f>13795000/C47*100</f>
        <v>35.481423372214152</v>
      </c>
      <c r="U49" s="34"/>
      <c r="V49" s="32"/>
      <c r="W49" s="33">
        <v>0</v>
      </c>
      <c r="X49" s="34"/>
      <c r="Y49" s="32"/>
      <c r="Z49" s="33">
        <v>0</v>
      </c>
      <c r="AA49" s="34"/>
      <c r="AB49" s="32"/>
      <c r="AC49" s="33">
        <v>0</v>
      </c>
      <c r="AD49" s="34"/>
      <c r="AE49" s="32"/>
      <c r="AF49" s="33">
        <v>0</v>
      </c>
      <c r="AG49" s="34"/>
      <c r="AH49" s="32"/>
      <c r="AI49" s="33">
        <v>0</v>
      </c>
      <c r="AJ49" s="34"/>
      <c r="AK49" s="32"/>
      <c r="AL49" s="33">
        <v>0</v>
      </c>
      <c r="AM49" s="34"/>
    </row>
    <row r="50" spans="1:39" ht="15" customHeight="1" x14ac:dyDescent="0.25">
      <c r="A50" s="36">
        <v>14</v>
      </c>
      <c r="B50" s="49" t="s">
        <v>41</v>
      </c>
      <c r="C50" s="50">
        <v>831000</v>
      </c>
      <c r="D50" s="25"/>
      <c r="E50" s="26">
        <f>1/12*100</f>
        <v>8.3333333333333321</v>
      </c>
      <c r="F50" s="27"/>
      <c r="G50" s="25"/>
      <c r="H50" s="26">
        <f>2/12*100</f>
        <v>16.666666666666664</v>
      </c>
      <c r="I50" s="27"/>
      <c r="J50" s="25"/>
      <c r="K50" s="26">
        <f>3/12*100</f>
        <v>25</v>
      </c>
      <c r="L50" s="27"/>
      <c r="M50" s="25"/>
      <c r="N50" s="26">
        <f>4/12*100</f>
        <v>33.333333333333329</v>
      </c>
      <c r="O50" s="27"/>
      <c r="P50" s="29"/>
      <c r="Q50" s="53">
        <f>5/12*100</f>
        <v>41.666666666666671</v>
      </c>
      <c r="R50" s="54"/>
      <c r="S50" s="29"/>
      <c r="T50" s="53">
        <f>6/12*100</f>
        <v>50</v>
      </c>
      <c r="U50" s="54"/>
      <c r="V50" s="29"/>
      <c r="W50" s="53">
        <f>7/12*100</f>
        <v>58.333333333333336</v>
      </c>
      <c r="X50" s="54"/>
      <c r="Y50" s="29"/>
      <c r="Z50" s="53">
        <f>8/12*100</f>
        <v>66.666666666666657</v>
      </c>
      <c r="AA50" s="54"/>
      <c r="AB50" s="29"/>
      <c r="AC50" s="53">
        <f>9/12*100</f>
        <v>75</v>
      </c>
      <c r="AD50" s="54"/>
      <c r="AE50" s="29"/>
      <c r="AF50" s="53">
        <f>10/12*100</f>
        <v>83.333333333333343</v>
      </c>
      <c r="AG50" s="54"/>
      <c r="AH50" s="29"/>
      <c r="AI50" s="53">
        <f>11/12*100</f>
        <v>91.666666666666657</v>
      </c>
      <c r="AJ50" s="54"/>
      <c r="AK50" s="25"/>
      <c r="AL50" s="26">
        <f>12/12*100</f>
        <v>100</v>
      </c>
      <c r="AM50" s="27"/>
    </row>
    <row r="51" spans="1:39" x14ac:dyDescent="0.25">
      <c r="A51" s="13"/>
      <c r="B51" s="51"/>
      <c r="C51" s="24"/>
      <c r="D51" s="25">
        <f>0/453600000</f>
        <v>0</v>
      </c>
      <c r="E51" s="26"/>
      <c r="F51" s="27">
        <f>U50</f>
        <v>0</v>
      </c>
      <c r="G51" s="25">
        <v>0</v>
      </c>
      <c r="H51" s="26"/>
      <c r="I51" s="27">
        <v>0</v>
      </c>
      <c r="J51" s="25">
        <v>0</v>
      </c>
      <c r="K51" s="26"/>
      <c r="L51" s="27">
        <v>0</v>
      </c>
      <c r="M51" s="25">
        <v>0</v>
      </c>
      <c r="N51" s="26"/>
      <c r="O51" s="27">
        <v>0</v>
      </c>
      <c r="P51" s="29">
        <v>0</v>
      </c>
      <c r="Q51" s="53"/>
      <c r="R51" s="54">
        <v>0</v>
      </c>
      <c r="S51" s="29">
        <v>0</v>
      </c>
      <c r="T51" s="53"/>
      <c r="U51" s="59" t="s">
        <v>42</v>
      </c>
      <c r="V51" s="29">
        <v>0</v>
      </c>
      <c r="W51" s="53"/>
      <c r="X51" s="54">
        <v>0</v>
      </c>
      <c r="Y51" s="25">
        <v>0</v>
      </c>
      <c r="Z51" s="53"/>
      <c r="AA51" s="27">
        <v>0</v>
      </c>
      <c r="AB51" s="25">
        <v>0</v>
      </c>
      <c r="AC51" s="53"/>
      <c r="AD51" s="27">
        <f>AC52</f>
        <v>0</v>
      </c>
      <c r="AE51" s="25">
        <v>0</v>
      </c>
      <c r="AF51" s="26"/>
      <c r="AG51" s="27">
        <v>0</v>
      </c>
      <c r="AH51" s="25">
        <v>0</v>
      </c>
      <c r="AI51" s="26"/>
      <c r="AJ51" s="27">
        <f>AI52</f>
        <v>0</v>
      </c>
      <c r="AK51" s="25">
        <v>0</v>
      </c>
      <c r="AL51" s="26"/>
      <c r="AM51" s="27">
        <f>AL52</f>
        <v>0</v>
      </c>
    </row>
    <row r="52" spans="1:39" x14ac:dyDescent="0.25">
      <c r="A52" s="30"/>
      <c r="B52" s="52"/>
      <c r="C52" s="31"/>
      <c r="D52" s="25"/>
      <c r="E52" s="26">
        <f>R52</f>
        <v>0</v>
      </c>
      <c r="F52" s="27"/>
      <c r="G52" s="25"/>
      <c r="H52" s="26">
        <v>0</v>
      </c>
      <c r="I52" s="27"/>
      <c r="J52" s="25"/>
      <c r="K52" s="26">
        <v>0</v>
      </c>
      <c r="L52" s="27"/>
      <c r="M52" s="25"/>
      <c r="N52" s="26">
        <v>0</v>
      </c>
      <c r="O52" s="27"/>
      <c r="P52" s="29"/>
      <c r="Q52" s="53">
        <v>0</v>
      </c>
      <c r="R52" s="54"/>
      <c r="S52" s="29"/>
      <c r="T52" s="26" t="str">
        <f>U51</f>
        <v>0</v>
      </c>
      <c r="U52" s="54"/>
      <c r="V52" s="29"/>
      <c r="W52" s="53">
        <v>0</v>
      </c>
      <c r="X52" s="54"/>
      <c r="Y52" s="29"/>
      <c r="Z52" s="60">
        <v>0</v>
      </c>
      <c r="AA52" s="54"/>
      <c r="AB52" s="29"/>
      <c r="AC52" s="26">
        <v>0</v>
      </c>
      <c r="AD52" s="54"/>
      <c r="AE52" s="29"/>
      <c r="AF52" s="53">
        <v>0</v>
      </c>
      <c r="AG52" s="54"/>
      <c r="AH52" s="25"/>
      <c r="AI52" s="26">
        <v>0</v>
      </c>
      <c r="AJ52" s="27"/>
      <c r="AK52" s="25"/>
      <c r="AL52" s="26">
        <v>0</v>
      </c>
      <c r="AM52" s="27"/>
    </row>
    <row r="53" spans="1:39" ht="15" customHeight="1" x14ac:dyDescent="0.25">
      <c r="A53" s="36">
        <v>15</v>
      </c>
      <c r="B53" s="49" t="s">
        <v>43</v>
      </c>
      <c r="C53" s="38">
        <v>5716900</v>
      </c>
      <c r="D53" s="39"/>
      <c r="E53" s="40">
        <f>1/12*100</f>
        <v>8.3333333333333321</v>
      </c>
      <c r="F53" s="41"/>
      <c r="G53" s="39"/>
      <c r="H53" s="40">
        <f>2/12*100</f>
        <v>16.666666666666664</v>
      </c>
      <c r="I53" s="41"/>
      <c r="J53" s="39"/>
      <c r="K53" s="40">
        <f>3/12*100</f>
        <v>25</v>
      </c>
      <c r="L53" s="41"/>
      <c r="M53" s="39"/>
      <c r="N53" s="40">
        <f>4/12*100</f>
        <v>33.333333333333329</v>
      </c>
      <c r="O53" s="41"/>
      <c r="P53" s="39"/>
      <c r="Q53" s="40">
        <f>5/12*100</f>
        <v>41.666666666666671</v>
      </c>
      <c r="R53" s="41"/>
      <c r="S53" s="39"/>
      <c r="T53" s="40">
        <f>6/12*100</f>
        <v>50</v>
      </c>
      <c r="U53" s="41"/>
      <c r="V53" s="39"/>
      <c r="W53" s="40">
        <f>7/12*100</f>
        <v>58.333333333333336</v>
      </c>
      <c r="X53" s="41"/>
      <c r="Y53" s="39"/>
      <c r="Z53" s="40">
        <f>8/12*100</f>
        <v>66.666666666666657</v>
      </c>
      <c r="AA53" s="41"/>
      <c r="AB53" s="39"/>
      <c r="AC53" s="40">
        <f>9/12*100</f>
        <v>75</v>
      </c>
      <c r="AD53" s="41"/>
      <c r="AE53" s="39"/>
      <c r="AF53" s="40">
        <f>10/12*100</f>
        <v>83.333333333333343</v>
      </c>
      <c r="AG53" s="41"/>
      <c r="AH53" s="39"/>
      <c r="AI53" s="42">
        <f>11/12*100</f>
        <v>91.666666666666657</v>
      </c>
      <c r="AJ53" s="41"/>
      <c r="AK53" s="39"/>
      <c r="AL53" s="40">
        <f>12/12*100</f>
        <v>100</v>
      </c>
      <c r="AM53" s="41"/>
    </row>
    <row r="54" spans="1:39" x14ac:dyDescent="0.25">
      <c r="A54" s="13"/>
      <c r="B54" s="51"/>
      <c r="C54" s="44"/>
      <c r="D54" s="25">
        <f>0/32222200</f>
        <v>0</v>
      </c>
      <c r="E54" s="26"/>
      <c r="F54" s="27">
        <f>U53</f>
        <v>0</v>
      </c>
      <c r="G54" s="25">
        <f>5716900/5716900*100</f>
        <v>100</v>
      </c>
      <c r="H54" s="26"/>
      <c r="I54" s="27">
        <f>H55</f>
        <v>100</v>
      </c>
      <c r="J54" s="25">
        <v>0</v>
      </c>
      <c r="K54" s="26"/>
      <c r="L54" s="27">
        <v>100</v>
      </c>
      <c r="M54" s="25">
        <v>0</v>
      </c>
      <c r="N54" s="26"/>
      <c r="O54" s="27">
        <v>100</v>
      </c>
      <c r="P54" s="25">
        <v>0</v>
      </c>
      <c r="Q54" s="26"/>
      <c r="R54" s="27">
        <v>100</v>
      </c>
      <c r="S54" s="25">
        <v>0</v>
      </c>
      <c r="T54" s="26"/>
      <c r="U54" s="27">
        <v>100</v>
      </c>
      <c r="V54" s="25">
        <v>0</v>
      </c>
      <c r="W54" s="26"/>
      <c r="X54" s="27">
        <v>0</v>
      </c>
      <c r="Y54" s="25">
        <v>0</v>
      </c>
      <c r="Z54" s="26"/>
      <c r="AA54" s="27">
        <f>Z55</f>
        <v>0</v>
      </c>
      <c r="AB54" s="25">
        <v>0</v>
      </c>
      <c r="AC54" s="26"/>
      <c r="AD54" s="27">
        <f>AC55</f>
        <v>0</v>
      </c>
      <c r="AE54" s="25">
        <v>0</v>
      </c>
      <c r="AF54" s="26"/>
      <c r="AG54" s="27">
        <v>0</v>
      </c>
      <c r="AH54" s="25">
        <v>0</v>
      </c>
      <c r="AI54" s="26"/>
      <c r="AJ54" s="27">
        <f>AI55</f>
        <v>0</v>
      </c>
      <c r="AK54" s="25">
        <v>0</v>
      </c>
      <c r="AL54" s="26"/>
      <c r="AM54" s="27">
        <f>AL55</f>
        <v>0</v>
      </c>
    </row>
    <row r="55" spans="1:39" x14ac:dyDescent="0.25">
      <c r="A55" s="30"/>
      <c r="B55" s="52"/>
      <c r="C55" s="46"/>
      <c r="D55" s="32"/>
      <c r="E55" s="33">
        <f>R55</f>
        <v>0</v>
      </c>
      <c r="F55" s="34"/>
      <c r="G55" s="32"/>
      <c r="H55" s="33">
        <f>D54+G54</f>
        <v>100</v>
      </c>
      <c r="I55" s="34"/>
      <c r="J55" s="32"/>
      <c r="K55" s="33">
        <f>D54+G54+J54</f>
        <v>100</v>
      </c>
      <c r="L55" s="34"/>
      <c r="M55" s="32"/>
      <c r="N55" s="33">
        <f>5716900/C53*100</f>
        <v>100</v>
      </c>
      <c r="O55" s="34"/>
      <c r="P55" s="32"/>
      <c r="Q55" s="33">
        <v>100</v>
      </c>
      <c r="R55" s="34"/>
      <c r="S55" s="32"/>
      <c r="T55" s="33">
        <v>100</v>
      </c>
      <c r="U55" s="34"/>
      <c r="V55" s="32"/>
      <c r="W55" s="33">
        <v>0</v>
      </c>
      <c r="X55" s="34"/>
      <c r="Y55" s="32"/>
      <c r="Z55" s="33">
        <v>0</v>
      </c>
      <c r="AA55" s="34"/>
      <c r="AB55" s="32"/>
      <c r="AC55" s="33">
        <v>0</v>
      </c>
      <c r="AD55" s="34"/>
      <c r="AE55" s="32"/>
      <c r="AF55" s="33">
        <v>0</v>
      </c>
      <c r="AG55" s="34"/>
      <c r="AH55" s="32"/>
      <c r="AI55" s="33">
        <v>0</v>
      </c>
      <c r="AJ55" s="34"/>
      <c r="AK55" s="32"/>
      <c r="AL55" s="33">
        <v>0</v>
      </c>
      <c r="AM55" s="34"/>
    </row>
    <row r="56" spans="1:39" ht="15" customHeight="1" x14ac:dyDescent="0.25">
      <c r="A56" s="36">
        <v>16</v>
      </c>
      <c r="B56" s="49" t="s">
        <v>44</v>
      </c>
      <c r="C56" s="50">
        <v>8879300</v>
      </c>
      <c r="D56" s="25"/>
      <c r="E56" s="26">
        <f>1/12*100</f>
        <v>8.3333333333333321</v>
      </c>
      <c r="F56" s="27"/>
      <c r="G56" s="25"/>
      <c r="H56" s="26">
        <f>2/12*100</f>
        <v>16.666666666666664</v>
      </c>
      <c r="I56" s="27"/>
      <c r="J56" s="25"/>
      <c r="K56" s="61">
        <f>3/12*100</f>
        <v>25</v>
      </c>
      <c r="L56" s="62"/>
      <c r="M56" s="25"/>
      <c r="N56" s="61">
        <f>4/12*100</f>
        <v>33.333333333333329</v>
      </c>
      <c r="O56" s="62"/>
      <c r="P56" s="25"/>
      <c r="Q56" s="61">
        <f>5/12*100</f>
        <v>41.666666666666671</v>
      </c>
      <c r="R56" s="62"/>
      <c r="S56" s="25"/>
      <c r="T56" s="61">
        <f>6/12*100</f>
        <v>50</v>
      </c>
      <c r="U56" s="62"/>
      <c r="V56" s="25"/>
      <c r="W56" s="61">
        <f>7/12*100</f>
        <v>58.333333333333336</v>
      </c>
      <c r="X56" s="62"/>
      <c r="Y56" s="25"/>
      <c r="Z56" s="61">
        <f>8/12*100</f>
        <v>66.666666666666657</v>
      </c>
      <c r="AA56" s="62"/>
      <c r="AB56" s="25"/>
      <c r="AC56" s="63">
        <f>9/12*100</f>
        <v>75</v>
      </c>
      <c r="AD56" s="62"/>
      <c r="AE56" s="25"/>
      <c r="AF56" s="61">
        <f>10/12*100</f>
        <v>83.333333333333343</v>
      </c>
      <c r="AG56" s="62"/>
      <c r="AH56" s="25"/>
      <c r="AI56" s="61">
        <f>11/12*100</f>
        <v>91.666666666666657</v>
      </c>
      <c r="AJ56" s="62"/>
      <c r="AK56" s="25"/>
      <c r="AL56" s="26">
        <f>12/12*100</f>
        <v>100</v>
      </c>
      <c r="AM56" s="27"/>
    </row>
    <row r="57" spans="1:39" x14ac:dyDescent="0.25">
      <c r="A57" s="13"/>
      <c r="B57" s="51"/>
      <c r="C57" s="24"/>
      <c r="D57" s="25">
        <f>0/572000*100</f>
        <v>0</v>
      </c>
      <c r="E57" s="26"/>
      <c r="F57" s="27">
        <f>U56</f>
        <v>0</v>
      </c>
      <c r="G57" s="25">
        <f>900000/8879300*100</f>
        <v>10.135934138952395</v>
      </c>
      <c r="H57" s="26"/>
      <c r="I57" s="27">
        <f>H58</f>
        <v>10.135934138952395</v>
      </c>
      <c r="J57" s="25">
        <f>450000/8879300*100</f>
        <v>5.0679670694761976</v>
      </c>
      <c r="K57" s="61"/>
      <c r="L57" s="62">
        <f>730000/5720000*100</f>
        <v>12.762237762237763</v>
      </c>
      <c r="M57" s="25">
        <v>0</v>
      </c>
      <c r="N57" s="61"/>
      <c r="O57" s="64">
        <f>N58</f>
        <v>15.203901208428592</v>
      </c>
      <c r="P57" s="25">
        <v>0</v>
      </c>
      <c r="Q57" s="61"/>
      <c r="R57" s="62">
        <f>Q58</f>
        <v>20.27186827790479</v>
      </c>
      <c r="S57" s="25">
        <f>1050000/C56*100</f>
        <v>11.825256495444462</v>
      </c>
      <c r="T57" s="61"/>
      <c r="U57" s="64">
        <v>37.200000000000003</v>
      </c>
      <c r="V57" s="25">
        <v>0</v>
      </c>
      <c r="W57" s="61"/>
      <c r="X57" s="62">
        <v>0</v>
      </c>
      <c r="Y57" s="25">
        <v>0</v>
      </c>
      <c r="Z57" s="61"/>
      <c r="AA57" s="64">
        <v>0</v>
      </c>
      <c r="AB57" s="25">
        <v>0</v>
      </c>
      <c r="AC57" s="61"/>
      <c r="AD57" s="64">
        <v>0</v>
      </c>
      <c r="AE57" s="25">
        <v>0</v>
      </c>
      <c r="AF57" s="61"/>
      <c r="AG57" s="62">
        <f>AF58</f>
        <v>0</v>
      </c>
      <c r="AH57" s="25">
        <v>0</v>
      </c>
      <c r="AI57" s="61"/>
      <c r="AJ57" s="62">
        <f>AI58</f>
        <v>0</v>
      </c>
      <c r="AK57" s="25">
        <v>0</v>
      </c>
      <c r="AL57" s="26"/>
      <c r="AM57" s="27">
        <f>AL58</f>
        <v>0</v>
      </c>
    </row>
    <row r="58" spans="1:39" x14ac:dyDescent="0.25">
      <c r="A58" s="30"/>
      <c r="B58" s="52"/>
      <c r="C58" s="31"/>
      <c r="D58" s="25"/>
      <c r="E58" s="26">
        <f>R58</f>
        <v>0</v>
      </c>
      <c r="F58" s="27"/>
      <c r="G58" s="25"/>
      <c r="H58" s="33">
        <f>D57+G57</f>
        <v>10.135934138952395</v>
      </c>
      <c r="I58" s="27"/>
      <c r="J58" s="25"/>
      <c r="K58" s="33">
        <f>D57+G57+J57</f>
        <v>15.203901208428594</v>
      </c>
      <c r="L58" s="62"/>
      <c r="M58" s="25"/>
      <c r="N58" s="63">
        <f>1350000/C56*100</f>
        <v>15.203901208428592</v>
      </c>
      <c r="O58" s="62"/>
      <c r="P58" s="25"/>
      <c r="Q58" s="61">
        <f>1800000/C56*100</f>
        <v>20.27186827790479</v>
      </c>
      <c r="R58" s="62"/>
      <c r="S58" s="25"/>
      <c r="T58" s="63">
        <f>3300000/C56*100</f>
        <v>37.165091842825447</v>
      </c>
      <c r="U58" s="62"/>
      <c r="V58" s="25"/>
      <c r="W58" s="61">
        <v>0</v>
      </c>
      <c r="X58" s="62"/>
      <c r="Y58" s="25"/>
      <c r="Z58" s="61">
        <v>0</v>
      </c>
      <c r="AA58" s="62"/>
      <c r="AB58" s="25"/>
      <c r="AC58" s="63">
        <v>0</v>
      </c>
      <c r="AD58" s="62"/>
      <c r="AE58" s="25"/>
      <c r="AF58" s="61">
        <v>0</v>
      </c>
      <c r="AG58" s="62"/>
      <c r="AH58" s="25"/>
      <c r="AI58" s="61">
        <v>0</v>
      </c>
      <c r="AJ58" s="62"/>
      <c r="AK58" s="25"/>
      <c r="AL58" s="26">
        <v>0</v>
      </c>
      <c r="AM58" s="27"/>
    </row>
    <row r="59" spans="1:39" ht="15" customHeight="1" x14ac:dyDescent="0.25">
      <c r="A59" s="36">
        <v>17</v>
      </c>
      <c r="B59" s="65" t="s">
        <v>45</v>
      </c>
      <c r="C59" s="38">
        <v>232650000</v>
      </c>
      <c r="D59" s="39"/>
      <c r="E59" s="40">
        <f>1/12*100</f>
        <v>8.3333333333333321</v>
      </c>
      <c r="F59" s="41"/>
      <c r="G59" s="39"/>
      <c r="H59" s="40">
        <f>2/12*100</f>
        <v>16.666666666666664</v>
      </c>
      <c r="I59" s="41"/>
      <c r="J59" s="39"/>
      <c r="K59" s="40">
        <f>3/12*100</f>
        <v>25</v>
      </c>
      <c r="L59" s="41"/>
      <c r="M59" s="39"/>
      <c r="N59" s="40">
        <f>4/12*100</f>
        <v>33.333333333333329</v>
      </c>
      <c r="O59" s="41"/>
      <c r="P59" s="39"/>
      <c r="Q59" s="40">
        <f>5/12*100</f>
        <v>41.666666666666671</v>
      </c>
      <c r="R59" s="41"/>
      <c r="S59" s="39"/>
      <c r="T59" s="61">
        <f>6/12*100</f>
        <v>50</v>
      </c>
      <c r="U59" s="41"/>
      <c r="V59" s="39"/>
      <c r="W59" s="40">
        <f>7/12*100</f>
        <v>58.333333333333336</v>
      </c>
      <c r="X59" s="41"/>
      <c r="Y59" s="39"/>
      <c r="Z59" s="40">
        <f>8/12*100</f>
        <v>66.666666666666657</v>
      </c>
      <c r="AA59" s="41"/>
      <c r="AB59" s="39"/>
      <c r="AC59" s="40">
        <f>9/12*100</f>
        <v>75</v>
      </c>
      <c r="AD59" s="41"/>
      <c r="AE59" s="39"/>
      <c r="AF59" s="40">
        <f>10/12*100</f>
        <v>83.333333333333343</v>
      </c>
      <c r="AG59" s="41"/>
      <c r="AH59" s="39"/>
      <c r="AI59" s="40">
        <f>11/12*100</f>
        <v>91.666666666666657</v>
      </c>
      <c r="AJ59" s="41"/>
      <c r="AK59" s="39"/>
      <c r="AL59" s="40">
        <f>12/12*100</f>
        <v>100</v>
      </c>
      <c r="AM59" s="41"/>
    </row>
    <row r="60" spans="1:39" ht="15" customHeight="1" x14ac:dyDescent="0.25">
      <c r="A60" s="13"/>
      <c r="B60" s="66"/>
      <c r="C60" s="44"/>
      <c r="D60" s="25">
        <f>19120000/232650000*100</f>
        <v>8.2183537502686441</v>
      </c>
      <c r="E60" s="26"/>
      <c r="F60" s="27">
        <f>U59</f>
        <v>0</v>
      </c>
      <c r="G60" s="25">
        <f>20290000/C59*100</f>
        <v>8.7212551042338262</v>
      </c>
      <c r="H60" s="26"/>
      <c r="I60" s="27">
        <f>H61</f>
        <v>16.93960885450247</v>
      </c>
      <c r="J60" s="25">
        <f>22720000/232650000*100</f>
        <v>9.7657425316999777</v>
      </c>
      <c r="K60" s="26"/>
      <c r="L60" s="27">
        <f>0/10062200*100</f>
        <v>0</v>
      </c>
      <c r="M60" s="25">
        <f>0/10062200*100</f>
        <v>0</v>
      </c>
      <c r="N60" s="26"/>
      <c r="O60" s="27">
        <v>0</v>
      </c>
      <c r="P60" s="25">
        <f>19120000/C59*100</f>
        <v>8.2183537502686441</v>
      </c>
      <c r="Q60" s="26"/>
      <c r="R60" s="27">
        <f>Q61</f>
        <v>44.186546314205884</v>
      </c>
      <c r="S60" s="25">
        <f>20920000/C59*100</f>
        <v>8.9920481409843109</v>
      </c>
      <c r="T60" s="26"/>
      <c r="U60" s="27">
        <f>T61</f>
        <v>53.952288845905869</v>
      </c>
      <c r="V60" s="25">
        <v>0</v>
      </c>
      <c r="W60" s="26"/>
      <c r="X60" s="27">
        <v>0</v>
      </c>
      <c r="Y60" s="25">
        <v>0</v>
      </c>
      <c r="Z60" s="26"/>
      <c r="AA60" s="27">
        <v>0</v>
      </c>
      <c r="AB60" s="25">
        <v>0</v>
      </c>
      <c r="AC60" s="26"/>
      <c r="AD60" s="27">
        <v>0</v>
      </c>
      <c r="AE60" s="25">
        <v>0</v>
      </c>
      <c r="AF60" s="26"/>
      <c r="AG60" s="27">
        <v>0</v>
      </c>
      <c r="AH60" s="25">
        <v>0</v>
      </c>
      <c r="AI60" s="26"/>
      <c r="AJ60" s="27">
        <v>0</v>
      </c>
      <c r="AK60" s="25">
        <v>0</v>
      </c>
      <c r="AL60" s="26"/>
      <c r="AM60" s="27">
        <v>0</v>
      </c>
    </row>
    <row r="61" spans="1:39" ht="21" customHeight="1" x14ac:dyDescent="0.25">
      <c r="A61" s="30"/>
      <c r="B61" s="67"/>
      <c r="C61" s="46"/>
      <c r="D61" s="32"/>
      <c r="E61" s="33">
        <f>19120000/232650000*100</f>
        <v>8.2183537502686441</v>
      </c>
      <c r="F61" s="34"/>
      <c r="G61" s="32"/>
      <c r="H61" s="33">
        <f>D60+G60</f>
        <v>16.93960885450247</v>
      </c>
      <c r="I61" s="34"/>
      <c r="J61" s="32"/>
      <c r="K61" s="33">
        <f>D60+G60+J60</f>
        <v>26.705351386202448</v>
      </c>
      <c r="L61" s="34"/>
      <c r="M61" s="32"/>
      <c r="N61" s="33">
        <f>62760000/C59*100</f>
        <v>26.976144422952935</v>
      </c>
      <c r="O61" s="34"/>
      <c r="P61" s="32"/>
      <c r="Q61" s="33">
        <f>102800000/C59*100</f>
        <v>44.186546314205884</v>
      </c>
      <c r="R61" s="34"/>
      <c r="S61" s="32"/>
      <c r="T61" s="33">
        <f>125520000/C59*100</f>
        <v>53.952288845905869</v>
      </c>
      <c r="U61" s="34"/>
      <c r="V61" s="32"/>
      <c r="W61" s="33">
        <v>0</v>
      </c>
      <c r="X61" s="34"/>
      <c r="Y61" s="32"/>
      <c r="Z61" s="33">
        <v>0</v>
      </c>
      <c r="AA61" s="34"/>
      <c r="AB61" s="32"/>
      <c r="AC61" s="33">
        <v>0</v>
      </c>
      <c r="AD61" s="34"/>
      <c r="AE61" s="32"/>
      <c r="AF61" s="33">
        <v>0</v>
      </c>
      <c r="AG61" s="34"/>
      <c r="AH61" s="32"/>
      <c r="AI61" s="33">
        <v>0</v>
      </c>
      <c r="AJ61" s="34"/>
      <c r="AK61" s="32"/>
      <c r="AL61" s="33">
        <v>0</v>
      </c>
      <c r="AM61" s="34"/>
    </row>
    <row r="62" spans="1:39" ht="15" customHeight="1" x14ac:dyDescent="0.25">
      <c r="A62" s="36">
        <v>18</v>
      </c>
      <c r="B62" s="49" t="s">
        <v>46</v>
      </c>
      <c r="C62" s="50">
        <v>7000000</v>
      </c>
      <c r="D62" s="25"/>
      <c r="E62" s="26">
        <f>1/12*100</f>
        <v>8.3333333333333321</v>
      </c>
      <c r="F62" s="27"/>
      <c r="G62" s="25"/>
      <c r="H62" s="26">
        <f>2/12*100</f>
        <v>16.666666666666664</v>
      </c>
      <c r="I62" s="27"/>
      <c r="J62" s="25"/>
      <c r="K62" s="26">
        <f>3/12*100</f>
        <v>25</v>
      </c>
      <c r="L62" s="27"/>
      <c r="M62" s="25"/>
      <c r="N62" s="26">
        <f>4/12*100</f>
        <v>33.333333333333329</v>
      </c>
      <c r="O62" s="27"/>
      <c r="P62" s="25"/>
      <c r="Q62" s="26">
        <f>5/12*100</f>
        <v>41.666666666666671</v>
      </c>
      <c r="R62" s="27"/>
      <c r="S62" s="25"/>
      <c r="T62" s="26">
        <f>6/12*100</f>
        <v>50</v>
      </c>
      <c r="U62" s="27"/>
      <c r="V62" s="25"/>
      <c r="W62" s="26">
        <f>7/12*100</f>
        <v>58.333333333333336</v>
      </c>
      <c r="X62" s="27"/>
      <c r="Y62" s="25"/>
      <c r="Z62" s="26">
        <f>8/12*100</f>
        <v>66.666666666666657</v>
      </c>
      <c r="AA62" s="68"/>
      <c r="AB62" s="69"/>
      <c r="AC62" s="63">
        <f>9/12*100</f>
        <v>75</v>
      </c>
      <c r="AD62" s="62"/>
      <c r="AE62" s="69"/>
      <c r="AF62" s="61">
        <f>10/12*100</f>
        <v>83.333333333333343</v>
      </c>
      <c r="AG62" s="62"/>
      <c r="AH62" s="70"/>
      <c r="AI62" s="63">
        <f>11/12*100</f>
        <v>91.666666666666657</v>
      </c>
      <c r="AJ62" s="64"/>
      <c r="AK62" s="25"/>
      <c r="AL62" s="26">
        <f>12/12*100</f>
        <v>100</v>
      </c>
      <c r="AM62" s="27"/>
    </row>
    <row r="63" spans="1:39" x14ac:dyDescent="0.25">
      <c r="A63" s="13"/>
      <c r="B63" s="71"/>
      <c r="C63" s="24"/>
      <c r="D63" s="25">
        <f>0/1499800*100</f>
        <v>0</v>
      </c>
      <c r="E63" s="26"/>
      <c r="F63" s="27">
        <f>U62</f>
        <v>0</v>
      </c>
      <c r="G63" s="25">
        <f ca="1">G63</f>
        <v>0</v>
      </c>
      <c r="H63" s="26"/>
      <c r="I63" s="27">
        <f ca="1">I63</f>
        <v>0</v>
      </c>
      <c r="J63" s="25">
        <f>0/1499800*100</f>
        <v>0</v>
      </c>
      <c r="K63" s="26"/>
      <c r="L63" s="27">
        <f>0/1499800*100</f>
        <v>0</v>
      </c>
      <c r="M63" s="25">
        <f>0/1499800*100</f>
        <v>0</v>
      </c>
      <c r="N63" s="26"/>
      <c r="O63" s="27">
        <f>0/1499800*100</f>
        <v>0</v>
      </c>
      <c r="P63" s="25">
        <f>0/1499800*100</f>
        <v>0</v>
      </c>
      <c r="Q63" s="26"/>
      <c r="R63" s="27">
        <f>0/14998008100</f>
        <v>0</v>
      </c>
      <c r="S63" s="25">
        <f>0</f>
        <v>0</v>
      </c>
      <c r="T63" s="26"/>
      <c r="U63" s="27">
        <f>0</f>
        <v>0</v>
      </c>
      <c r="V63" s="25">
        <v>0</v>
      </c>
      <c r="W63" s="26"/>
      <c r="X63" s="27">
        <v>0</v>
      </c>
      <c r="Y63" s="26">
        <v>0</v>
      </c>
      <c r="Z63" s="53"/>
      <c r="AA63" s="27">
        <v>0</v>
      </c>
      <c r="AB63" s="63">
        <v>0</v>
      </c>
      <c r="AC63" s="61"/>
      <c r="AD63" s="64">
        <v>0</v>
      </c>
      <c r="AE63" s="61">
        <v>0</v>
      </c>
      <c r="AF63" s="61"/>
      <c r="AG63" s="62">
        <v>0</v>
      </c>
      <c r="AH63" s="63">
        <v>0</v>
      </c>
      <c r="AI63" s="63"/>
      <c r="AJ63" s="64">
        <v>0</v>
      </c>
      <c r="AK63" s="26">
        <v>0</v>
      </c>
      <c r="AL63" s="26"/>
      <c r="AM63" s="27">
        <f>AL64</f>
        <v>0</v>
      </c>
    </row>
    <row r="64" spans="1:39" x14ac:dyDescent="0.25">
      <c r="A64" s="30"/>
      <c r="B64" s="72"/>
      <c r="C64" s="31"/>
      <c r="D64" s="32"/>
      <c r="E64" s="33">
        <f>R64</f>
        <v>0</v>
      </c>
      <c r="F64" s="34"/>
      <c r="G64" s="32"/>
      <c r="H64" s="33">
        <f ca="1">H64</f>
        <v>0</v>
      </c>
      <c r="I64" s="34"/>
      <c r="J64" s="32"/>
      <c r="K64" s="33">
        <f>L63</f>
        <v>0</v>
      </c>
      <c r="L64" s="34"/>
      <c r="M64" s="32"/>
      <c r="N64" s="33">
        <f>0/1499800*100</f>
        <v>0</v>
      </c>
      <c r="O64" s="34"/>
      <c r="P64" s="32"/>
      <c r="Q64" s="33">
        <f>0/1499800*100</f>
        <v>0</v>
      </c>
      <c r="R64" s="34"/>
      <c r="S64" s="32"/>
      <c r="T64" s="33">
        <f>U63</f>
        <v>0</v>
      </c>
      <c r="U64" s="34"/>
      <c r="V64" s="32"/>
      <c r="W64" s="33">
        <v>0</v>
      </c>
      <c r="X64" s="34"/>
      <c r="Y64" s="73"/>
      <c r="Z64" s="33">
        <v>0</v>
      </c>
      <c r="AA64" s="74"/>
      <c r="AB64" s="75"/>
      <c r="AC64" s="76">
        <v>0</v>
      </c>
      <c r="AD64" s="77"/>
      <c r="AE64" s="75"/>
      <c r="AF64" s="78">
        <v>0</v>
      </c>
      <c r="AG64" s="77"/>
      <c r="AH64" s="79"/>
      <c r="AI64" s="76">
        <v>0</v>
      </c>
      <c r="AJ64" s="80"/>
      <c r="AK64" s="32"/>
      <c r="AL64" s="33">
        <v>0</v>
      </c>
      <c r="AM64" s="34"/>
    </row>
    <row r="65" spans="1:95" ht="15" customHeight="1" x14ac:dyDescent="0.25">
      <c r="A65" s="36">
        <v>19</v>
      </c>
      <c r="B65" s="49" t="s">
        <v>47</v>
      </c>
      <c r="C65" s="50">
        <v>1291600</v>
      </c>
      <c r="D65" s="25"/>
      <c r="E65" s="26">
        <f>1/12*100</f>
        <v>8.3333333333333321</v>
      </c>
      <c r="F65" s="27"/>
      <c r="G65" s="25"/>
      <c r="H65" s="26">
        <f>2/12*100</f>
        <v>16.666666666666664</v>
      </c>
      <c r="I65" s="27"/>
      <c r="J65" s="25"/>
      <c r="K65" s="26">
        <f>3/12*100</f>
        <v>25</v>
      </c>
      <c r="L65" s="27"/>
      <c r="M65" s="25"/>
      <c r="N65" s="26">
        <f>4/12*100</f>
        <v>33.333333333333329</v>
      </c>
      <c r="O65" s="27"/>
      <c r="P65" s="25"/>
      <c r="Q65" s="26">
        <f>5/12*100</f>
        <v>41.666666666666671</v>
      </c>
      <c r="R65" s="27"/>
      <c r="S65" s="25"/>
      <c r="T65" s="26">
        <f>6/12*100</f>
        <v>50</v>
      </c>
      <c r="U65" s="27"/>
      <c r="V65" s="25"/>
      <c r="W65" s="26">
        <f>7/12*100</f>
        <v>58.333333333333336</v>
      </c>
      <c r="X65" s="27"/>
      <c r="Y65" s="29"/>
      <c r="Z65" s="53">
        <f>8/12*100</f>
        <v>66.666666666666657</v>
      </c>
      <c r="AA65" s="54"/>
      <c r="AB65" s="69"/>
      <c r="AC65" s="63">
        <f>9/12*100</f>
        <v>75</v>
      </c>
      <c r="AD65" s="62"/>
      <c r="AE65" s="69"/>
      <c r="AF65" s="61">
        <f>10/12*100</f>
        <v>83.333333333333343</v>
      </c>
      <c r="AG65" s="62"/>
      <c r="AH65" s="70"/>
      <c r="AI65" s="63">
        <f>11/12*100</f>
        <v>91.666666666666657</v>
      </c>
      <c r="AJ65" s="64"/>
      <c r="AK65" s="25"/>
      <c r="AL65" s="26">
        <f>12/12*100</f>
        <v>100</v>
      </c>
      <c r="AM65" s="27"/>
    </row>
    <row r="66" spans="1:95" x14ac:dyDescent="0.25">
      <c r="A66" s="13"/>
      <c r="B66" s="51"/>
      <c r="C66" s="24"/>
      <c r="D66" s="25">
        <f>0/9999300*100</f>
        <v>0</v>
      </c>
      <c r="E66" s="26"/>
      <c r="F66" s="27">
        <f>U65</f>
        <v>0</v>
      </c>
      <c r="G66" s="25">
        <f ca="1">G66</f>
        <v>0</v>
      </c>
      <c r="H66" s="26"/>
      <c r="I66" s="27">
        <f ca="1">I66</f>
        <v>0</v>
      </c>
      <c r="J66" s="25">
        <v>0</v>
      </c>
      <c r="K66" s="26"/>
      <c r="L66" s="27">
        <v>0</v>
      </c>
      <c r="M66" s="25">
        <v>0</v>
      </c>
      <c r="N66" s="26"/>
      <c r="O66" s="27">
        <v>0</v>
      </c>
      <c r="P66" s="25">
        <v>0</v>
      </c>
      <c r="Q66" s="26"/>
      <c r="R66" s="81">
        <v>0</v>
      </c>
      <c r="S66" s="25">
        <v>0</v>
      </c>
      <c r="T66" s="26"/>
      <c r="U66" s="27">
        <f>0</f>
        <v>0</v>
      </c>
      <c r="V66" s="25">
        <v>0</v>
      </c>
      <c r="W66" s="26"/>
      <c r="X66" s="27">
        <v>0</v>
      </c>
      <c r="Y66" s="25">
        <v>0</v>
      </c>
      <c r="Z66" s="53"/>
      <c r="AA66" s="27">
        <v>0</v>
      </c>
      <c r="AB66" s="70">
        <v>0</v>
      </c>
      <c r="AC66" s="61"/>
      <c r="AD66" s="64">
        <v>0</v>
      </c>
      <c r="AE66" s="69">
        <v>0</v>
      </c>
      <c r="AF66" s="61"/>
      <c r="AG66" s="62">
        <f>AF67</f>
        <v>0</v>
      </c>
      <c r="AH66" s="70">
        <v>0</v>
      </c>
      <c r="AI66" s="63"/>
      <c r="AJ66" s="64">
        <v>0</v>
      </c>
      <c r="AK66" s="25">
        <v>0</v>
      </c>
      <c r="AL66" s="26"/>
      <c r="AM66" s="27">
        <v>0</v>
      </c>
    </row>
    <row r="67" spans="1:95" ht="22.5" customHeight="1" x14ac:dyDescent="0.25">
      <c r="A67" s="30"/>
      <c r="B67" s="52"/>
      <c r="C67" s="31"/>
      <c r="D67" s="32"/>
      <c r="E67" s="33">
        <f>R67</f>
        <v>0</v>
      </c>
      <c r="F67" s="34"/>
      <c r="G67" s="32"/>
      <c r="H67" s="33">
        <f ca="1">H67</f>
        <v>0</v>
      </c>
      <c r="I67" s="34"/>
      <c r="J67" s="32"/>
      <c r="K67" s="33">
        <v>0</v>
      </c>
      <c r="L67" s="34"/>
      <c r="M67" s="32"/>
      <c r="N67" s="33">
        <v>0</v>
      </c>
      <c r="O67" s="34"/>
      <c r="P67" s="32"/>
      <c r="Q67" s="33">
        <v>0</v>
      </c>
      <c r="R67" s="34"/>
      <c r="S67" s="32"/>
      <c r="T67" s="33">
        <f>U66</f>
        <v>0</v>
      </c>
      <c r="U67" s="34"/>
      <c r="V67" s="32"/>
      <c r="W67" s="33">
        <v>0</v>
      </c>
      <c r="X67" s="34"/>
      <c r="Y67" s="73"/>
      <c r="Z67" s="33">
        <v>0</v>
      </c>
      <c r="AA67" s="74"/>
      <c r="AB67" s="75"/>
      <c r="AC67" s="76">
        <v>0</v>
      </c>
      <c r="AD67" s="77"/>
      <c r="AE67" s="75"/>
      <c r="AF67" s="78">
        <v>0</v>
      </c>
      <c r="AG67" s="77"/>
      <c r="AH67" s="79"/>
      <c r="AI67" s="76">
        <f>0</f>
        <v>0</v>
      </c>
      <c r="AJ67" s="80"/>
      <c r="AK67" s="32"/>
      <c r="AL67" s="33">
        <v>0</v>
      </c>
      <c r="AM67" s="34"/>
    </row>
    <row r="68" spans="1:95" ht="15" customHeight="1" x14ac:dyDescent="0.25">
      <c r="A68" s="36">
        <v>20</v>
      </c>
      <c r="B68" s="71" t="s">
        <v>48</v>
      </c>
      <c r="C68" s="50">
        <v>3600000</v>
      </c>
      <c r="D68" s="25"/>
      <c r="E68" s="26">
        <f>1/12*100</f>
        <v>8.3333333333333321</v>
      </c>
      <c r="F68" s="27"/>
      <c r="G68" s="25"/>
      <c r="H68" s="26">
        <f>2/12*100</f>
        <v>16.666666666666664</v>
      </c>
      <c r="I68" s="27"/>
      <c r="J68" s="25"/>
      <c r="K68" s="26">
        <f>3/12*100</f>
        <v>25</v>
      </c>
      <c r="L68" s="27"/>
      <c r="M68" s="25"/>
      <c r="N68" s="26">
        <f>4/12*100</f>
        <v>33.333333333333329</v>
      </c>
      <c r="O68" s="27"/>
      <c r="P68" s="25"/>
      <c r="Q68" s="26">
        <f>5/12*100</f>
        <v>41.666666666666671</v>
      </c>
      <c r="R68" s="27"/>
      <c r="S68" s="25"/>
      <c r="T68" s="26">
        <f>6/12*100</f>
        <v>50</v>
      </c>
      <c r="U68" s="27"/>
      <c r="V68" s="25"/>
      <c r="W68" s="26">
        <f>7/12*100</f>
        <v>58.333333333333336</v>
      </c>
      <c r="X68" s="27"/>
      <c r="Y68" s="25"/>
      <c r="Z68" s="26">
        <f>8/12*100</f>
        <v>66.666666666666657</v>
      </c>
      <c r="AA68" s="68"/>
      <c r="AB68" s="69"/>
      <c r="AC68" s="63">
        <f>9/12*100</f>
        <v>75</v>
      </c>
      <c r="AD68" s="62"/>
      <c r="AE68" s="69"/>
      <c r="AF68" s="61">
        <f>10/12*100</f>
        <v>83.333333333333343</v>
      </c>
      <c r="AG68" s="62"/>
      <c r="AH68" s="70"/>
      <c r="AI68" s="63">
        <f>11/12*100</f>
        <v>91.666666666666657</v>
      </c>
      <c r="AJ68" s="64"/>
      <c r="AK68" s="25"/>
      <c r="AL68" s="26">
        <f>12/12*100</f>
        <v>100</v>
      </c>
      <c r="AM68" s="27"/>
    </row>
    <row r="69" spans="1:95" x14ac:dyDescent="0.25">
      <c r="A69" s="13"/>
      <c r="B69" s="51"/>
      <c r="C69" s="24"/>
      <c r="D69" s="25">
        <f>0/19380008100</f>
        <v>0</v>
      </c>
      <c r="E69" s="26"/>
      <c r="F69" s="27">
        <f>U69</f>
        <v>0</v>
      </c>
      <c r="G69" s="25">
        <f ca="1">G69</f>
        <v>0</v>
      </c>
      <c r="H69" s="26"/>
      <c r="I69" s="27">
        <f ca="1">I69</f>
        <v>0</v>
      </c>
      <c r="J69" s="25">
        <f>0/1938000*100</f>
        <v>0</v>
      </c>
      <c r="K69" s="26"/>
      <c r="L69" s="27">
        <f>0/1938000*100</f>
        <v>0</v>
      </c>
      <c r="M69" s="25">
        <f>0/1938000*100</f>
        <v>0</v>
      </c>
      <c r="N69" s="26"/>
      <c r="O69" s="27">
        <f>0/1938000*100</f>
        <v>0</v>
      </c>
      <c r="P69" s="25">
        <f>0/1938000*100</f>
        <v>0</v>
      </c>
      <c r="Q69" s="26"/>
      <c r="R69" s="27">
        <f>0/1938000*100</f>
        <v>0</v>
      </c>
      <c r="S69" s="25">
        <v>0</v>
      </c>
      <c r="T69" s="26"/>
      <c r="U69" s="27">
        <v>0</v>
      </c>
      <c r="V69" s="25">
        <v>0</v>
      </c>
      <c r="W69" s="26"/>
      <c r="X69" s="27">
        <v>0</v>
      </c>
      <c r="Y69" s="26">
        <v>0</v>
      </c>
      <c r="Z69" s="53"/>
      <c r="AA69" s="27">
        <v>0</v>
      </c>
      <c r="AB69" s="63">
        <v>0</v>
      </c>
      <c r="AC69" s="61"/>
      <c r="AD69" s="64">
        <v>0</v>
      </c>
      <c r="AE69" s="61">
        <v>0</v>
      </c>
      <c r="AF69" s="61"/>
      <c r="AG69" s="62">
        <f>AF70</f>
        <v>0</v>
      </c>
      <c r="AH69" s="63">
        <v>0</v>
      </c>
      <c r="AI69" s="63"/>
      <c r="AJ69" s="64">
        <v>0</v>
      </c>
      <c r="AK69" s="26">
        <v>0</v>
      </c>
      <c r="AL69" s="26"/>
      <c r="AM69" s="27">
        <v>0</v>
      </c>
    </row>
    <row r="70" spans="1:95" x14ac:dyDescent="0.25">
      <c r="A70" s="30"/>
      <c r="B70" s="52"/>
      <c r="C70" s="31"/>
      <c r="D70" s="32"/>
      <c r="E70" s="33">
        <f>R70</f>
        <v>0</v>
      </c>
      <c r="F70" s="34"/>
      <c r="G70" s="32"/>
      <c r="H70" s="33">
        <f ca="1">H70</f>
        <v>0</v>
      </c>
      <c r="I70" s="34"/>
      <c r="J70" s="32"/>
      <c r="K70" s="33">
        <f>0/1938000*100</f>
        <v>0</v>
      </c>
      <c r="L70" s="34"/>
      <c r="M70" s="32"/>
      <c r="N70" s="33">
        <f>0/1938000*100</f>
        <v>0</v>
      </c>
      <c r="O70" s="34"/>
      <c r="P70" s="32"/>
      <c r="Q70" s="33">
        <f>0/1938000*100</f>
        <v>0</v>
      </c>
      <c r="R70" s="34"/>
      <c r="S70" s="32"/>
      <c r="T70" s="33">
        <f>U69</f>
        <v>0</v>
      </c>
      <c r="U70" s="34"/>
      <c r="V70" s="32"/>
      <c r="W70" s="33">
        <v>0</v>
      </c>
      <c r="X70" s="34"/>
      <c r="Y70" s="73"/>
      <c r="Z70" s="33">
        <v>0</v>
      </c>
      <c r="AA70" s="74"/>
      <c r="AB70" s="75"/>
      <c r="AC70" s="76">
        <v>0</v>
      </c>
      <c r="AD70" s="77"/>
      <c r="AE70" s="75"/>
      <c r="AF70" s="78">
        <v>0</v>
      </c>
      <c r="AG70" s="77"/>
      <c r="AH70" s="79"/>
      <c r="AI70" s="76">
        <v>0</v>
      </c>
      <c r="AJ70" s="80"/>
      <c r="AK70" s="32"/>
      <c r="AL70" s="33">
        <v>0</v>
      </c>
      <c r="AM70" s="34"/>
    </row>
    <row r="71" spans="1:95" ht="15" customHeight="1" x14ac:dyDescent="0.25">
      <c r="A71" s="36">
        <v>21</v>
      </c>
      <c r="B71" s="49" t="s">
        <v>49</v>
      </c>
      <c r="C71" s="50">
        <v>1291000</v>
      </c>
      <c r="D71" s="25"/>
      <c r="E71" s="26">
        <f>1/12*100</f>
        <v>8.3333333333333321</v>
      </c>
      <c r="F71" s="27"/>
      <c r="G71" s="25"/>
      <c r="H71" s="26">
        <f>2/12*100</f>
        <v>16.666666666666664</v>
      </c>
      <c r="I71" s="27"/>
      <c r="J71" s="25"/>
      <c r="K71" s="26">
        <f>3/12*100</f>
        <v>25</v>
      </c>
      <c r="L71" s="27"/>
      <c r="M71" s="25"/>
      <c r="N71" s="26">
        <f>4/12*100</f>
        <v>33.333333333333329</v>
      </c>
      <c r="O71" s="27"/>
      <c r="P71" s="25"/>
      <c r="Q71" s="26">
        <f>5/12*100</f>
        <v>41.666666666666671</v>
      </c>
      <c r="R71" s="27"/>
      <c r="S71" s="25"/>
      <c r="T71" s="26">
        <f>6/12*100</f>
        <v>50</v>
      </c>
      <c r="U71" s="27"/>
      <c r="V71" s="25"/>
      <c r="W71" s="26">
        <f>7/12*100</f>
        <v>58.333333333333336</v>
      </c>
      <c r="X71" s="27"/>
      <c r="Y71" s="29"/>
      <c r="Z71" s="53">
        <f>8/12*100</f>
        <v>66.666666666666657</v>
      </c>
      <c r="AA71" s="54"/>
      <c r="AB71" s="69"/>
      <c r="AC71" s="63">
        <f>9/12*100</f>
        <v>75</v>
      </c>
      <c r="AD71" s="62"/>
      <c r="AE71" s="69"/>
      <c r="AF71" s="61">
        <f>10/12*100</f>
        <v>83.333333333333343</v>
      </c>
      <c r="AG71" s="62"/>
      <c r="AH71" s="70"/>
      <c r="AI71" s="63">
        <f>11/12*100</f>
        <v>91.666666666666657</v>
      </c>
      <c r="AJ71" s="64"/>
      <c r="AK71" s="25"/>
      <c r="AL71" s="26">
        <f>12/12*100</f>
        <v>100</v>
      </c>
      <c r="AM71" s="27"/>
    </row>
    <row r="72" spans="1:95" x14ac:dyDescent="0.25">
      <c r="A72" s="13"/>
      <c r="B72" s="51"/>
      <c r="C72" s="24"/>
      <c r="D72" s="25">
        <f>0/9994500*100</f>
        <v>0</v>
      </c>
      <c r="E72" s="26"/>
      <c r="F72" s="27">
        <v>0</v>
      </c>
      <c r="G72" s="25">
        <v>0</v>
      </c>
      <c r="H72" s="26"/>
      <c r="I72" s="27">
        <v>0</v>
      </c>
      <c r="J72" s="25">
        <f>1000000/C71*100</f>
        <v>77.459333849728893</v>
      </c>
      <c r="K72" s="26"/>
      <c r="L72" s="27">
        <f>K73</f>
        <v>77.459333849728893</v>
      </c>
      <c r="M72" s="25">
        <v>0</v>
      </c>
      <c r="N72" s="26"/>
      <c r="O72" s="27">
        <f>N73</f>
        <v>77.459333849728893</v>
      </c>
      <c r="P72" s="25">
        <v>0</v>
      </c>
      <c r="Q72" s="26"/>
      <c r="R72" s="81">
        <f>Q73</f>
        <v>77.459333849728893</v>
      </c>
      <c r="S72" s="25">
        <v>0</v>
      </c>
      <c r="T72" s="26"/>
      <c r="U72" s="27">
        <v>77.5</v>
      </c>
      <c r="V72" s="25">
        <v>0</v>
      </c>
      <c r="W72" s="26"/>
      <c r="X72" s="27">
        <v>0</v>
      </c>
      <c r="Y72" s="25">
        <v>0</v>
      </c>
      <c r="Z72" s="53"/>
      <c r="AA72" s="27">
        <v>0</v>
      </c>
      <c r="AB72" s="70">
        <v>0</v>
      </c>
      <c r="AC72" s="61"/>
      <c r="AD72" s="64">
        <f>AC73</f>
        <v>0</v>
      </c>
      <c r="AE72" s="69">
        <v>0</v>
      </c>
      <c r="AF72" s="61"/>
      <c r="AG72" s="62">
        <v>0</v>
      </c>
      <c r="AH72" s="70">
        <v>0</v>
      </c>
      <c r="AI72" s="63"/>
      <c r="AJ72" s="64">
        <v>0</v>
      </c>
      <c r="AK72" s="25">
        <v>0</v>
      </c>
      <c r="AL72" s="26"/>
      <c r="AM72" s="27">
        <v>0</v>
      </c>
    </row>
    <row r="73" spans="1:95" x14ac:dyDescent="0.25">
      <c r="A73" s="30"/>
      <c r="B73" s="52"/>
      <c r="C73" s="31"/>
      <c r="D73" s="32"/>
      <c r="E73" s="33">
        <f>R73</f>
        <v>0</v>
      </c>
      <c r="F73" s="34"/>
      <c r="G73" s="32"/>
      <c r="H73" s="33">
        <v>0</v>
      </c>
      <c r="I73" s="34"/>
      <c r="J73" s="32"/>
      <c r="K73" s="33">
        <f>D72+G72+J72</f>
        <v>77.459333849728893</v>
      </c>
      <c r="L73" s="34"/>
      <c r="M73" s="32"/>
      <c r="N73" s="33">
        <f>1000000/C71*100</f>
        <v>77.459333849728893</v>
      </c>
      <c r="O73" s="34"/>
      <c r="P73" s="32"/>
      <c r="Q73" s="33">
        <f>N73</f>
        <v>77.459333849728893</v>
      </c>
      <c r="R73" s="34"/>
      <c r="S73" s="32"/>
      <c r="T73" s="33">
        <v>77.5</v>
      </c>
      <c r="U73" s="34"/>
      <c r="V73" s="32"/>
      <c r="W73" s="33">
        <v>0</v>
      </c>
      <c r="X73" s="34"/>
      <c r="Y73" s="73"/>
      <c r="Z73" s="33">
        <v>0</v>
      </c>
      <c r="AA73" s="74"/>
      <c r="AB73" s="75"/>
      <c r="AC73" s="76">
        <v>0</v>
      </c>
      <c r="AD73" s="77"/>
      <c r="AE73" s="75"/>
      <c r="AF73" s="78">
        <v>0</v>
      </c>
      <c r="AG73" s="77"/>
      <c r="AH73" s="79"/>
      <c r="AI73" s="76">
        <v>0</v>
      </c>
      <c r="AJ73" s="80"/>
      <c r="AK73" s="32"/>
      <c r="AL73" s="33">
        <f>1795100/C71*100</f>
        <v>139.04725019364835</v>
      </c>
      <c r="AM73" s="34"/>
    </row>
    <row r="74" spans="1:95" s="91" customFormat="1" ht="15" customHeight="1" x14ac:dyDescent="0.25">
      <c r="A74" s="82">
        <v>22</v>
      </c>
      <c r="B74" s="49" t="s">
        <v>50</v>
      </c>
      <c r="C74" s="83">
        <v>1414400</v>
      </c>
      <c r="D74" s="84"/>
      <c r="E74" s="85">
        <f>1/12*100</f>
        <v>8.3333333333333321</v>
      </c>
      <c r="F74" s="86"/>
      <c r="G74" s="84"/>
      <c r="H74" s="85">
        <f>2/12*100</f>
        <v>16.666666666666664</v>
      </c>
      <c r="I74" s="86"/>
      <c r="J74" s="84"/>
      <c r="K74" s="85">
        <f>3/12*100</f>
        <v>25</v>
      </c>
      <c r="L74" s="86"/>
      <c r="M74" s="84"/>
      <c r="N74" s="85">
        <f>4/12*100</f>
        <v>33.333333333333329</v>
      </c>
      <c r="O74" s="86"/>
      <c r="P74" s="84"/>
      <c r="Q74" s="85">
        <f>5/12*100</f>
        <v>41.666666666666671</v>
      </c>
      <c r="R74" s="86"/>
      <c r="S74" s="84"/>
      <c r="T74" s="85">
        <f>6/12*100</f>
        <v>50</v>
      </c>
      <c r="U74" s="86"/>
      <c r="V74" s="84"/>
      <c r="W74" s="85">
        <f>7/12*100</f>
        <v>58.333333333333336</v>
      </c>
      <c r="X74" s="86"/>
      <c r="Y74" s="84"/>
      <c r="Z74" s="85">
        <f>8/12*100</f>
        <v>66.666666666666657</v>
      </c>
      <c r="AA74" s="86"/>
      <c r="AB74" s="84"/>
      <c r="AC74" s="85">
        <f>9/12*100</f>
        <v>75</v>
      </c>
      <c r="AD74" s="86"/>
      <c r="AE74" s="84"/>
      <c r="AF74" s="85">
        <f>10/12*100</f>
        <v>83.333333333333343</v>
      </c>
      <c r="AG74" s="86"/>
      <c r="AH74" s="87"/>
      <c r="AI74" s="88">
        <f>11/12*100</f>
        <v>91.666666666666657</v>
      </c>
      <c r="AJ74" s="89"/>
      <c r="AK74" s="84"/>
      <c r="AL74" s="85">
        <f>12/12*100</f>
        <v>100</v>
      </c>
      <c r="AM74" s="86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</row>
    <row r="75" spans="1:95" s="91" customFormat="1" x14ac:dyDescent="0.25">
      <c r="A75" s="92"/>
      <c r="B75" s="51"/>
      <c r="C75" s="93"/>
      <c r="D75" s="94">
        <f>0/27200000</f>
        <v>0</v>
      </c>
      <c r="E75" s="95"/>
      <c r="F75" s="96">
        <f>U74</f>
        <v>0</v>
      </c>
      <c r="G75" s="94">
        <v>0</v>
      </c>
      <c r="H75" s="95"/>
      <c r="I75" s="96">
        <v>0</v>
      </c>
      <c r="J75" s="94">
        <v>0</v>
      </c>
      <c r="K75" s="95"/>
      <c r="L75" s="96">
        <v>0</v>
      </c>
      <c r="M75" s="94">
        <v>0</v>
      </c>
      <c r="N75" s="95"/>
      <c r="O75" s="96">
        <v>0</v>
      </c>
      <c r="P75" s="94">
        <v>0</v>
      </c>
      <c r="Q75" s="95"/>
      <c r="R75" s="96">
        <v>0</v>
      </c>
      <c r="S75" s="97">
        <v>0</v>
      </c>
      <c r="T75" s="95"/>
      <c r="U75" s="96">
        <v>0</v>
      </c>
      <c r="V75" s="94">
        <v>0</v>
      </c>
      <c r="W75" s="95"/>
      <c r="X75" s="96">
        <v>0</v>
      </c>
      <c r="Y75" s="94">
        <v>0</v>
      </c>
      <c r="Z75" s="95"/>
      <c r="AA75" s="96">
        <v>0</v>
      </c>
      <c r="AB75" s="94">
        <v>0</v>
      </c>
      <c r="AC75" s="95"/>
      <c r="AD75" s="96">
        <f>AC76</f>
        <v>0</v>
      </c>
      <c r="AE75" s="94">
        <v>0</v>
      </c>
      <c r="AF75" s="95"/>
      <c r="AG75" s="96">
        <v>0</v>
      </c>
      <c r="AH75" s="98">
        <v>0</v>
      </c>
      <c r="AI75" s="99"/>
      <c r="AJ75" s="100">
        <f>AI76</f>
        <v>0</v>
      </c>
      <c r="AK75" s="94">
        <v>0</v>
      </c>
      <c r="AL75" s="95"/>
      <c r="AM75" s="96">
        <v>0</v>
      </c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</row>
    <row r="76" spans="1:95" s="91" customFormat="1" x14ac:dyDescent="0.25">
      <c r="A76" s="101"/>
      <c r="B76" s="52"/>
      <c r="C76" s="102"/>
      <c r="D76" s="103"/>
      <c r="E76" s="104">
        <f>R76</f>
        <v>0</v>
      </c>
      <c r="F76" s="105"/>
      <c r="G76" s="103"/>
      <c r="H76" s="104">
        <v>0</v>
      </c>
      <c r="I76" s="105"/>
      <c r="J76" s="103"/>
      <c r="K76" s="104">
        <v>0</v>
      </c>
      <c r="L76" s="105"/>
      <c r="M76" s="103"/>
      <c r="N76" s="104">
        <v>0</v>
      </c>
      <c r="O76" s="105"/>
      <c r="P76" s="103"/>
      <c r="Q76" s="104">
        <v>0</v>
      </c>
      <c r="R76" s="105"/>
      <c r="S76" s="103"/>
      <c r="T76" s="104">
        <f>U75</f>
        <v>0</v>
      </c>
      <c r="U76" s="105"/>
      <c r="V76" s="103"/>
      <c r="W76" s="104">
        <v>0</v>
      </c>
      <c r="X76" s="105"/>
      <c r="Y76" s="103"/>
      <c r="Z76" s="104">
        <v>0</v>
      </c>
      <c r="AA76" s="105"/>
      <c r="AB76" s="103"/>
      <c r="AC76" s="104">
        <v>0</v>
      </c>
      <c r="AD76" s="105"/>
      <c r="AE76" s="103"/>
      <c r="AF76" s="104">
        <v>0</v>
      </c>
      <c r="AG76" s="105"/>
      <c r="AH76" s="106"/>
      <c r="AI76" s="107">
        <v>0</v>
      </c>
      <c r="AJ76" s="108"/>
      <c r="AK76" s="103"/>
      <c r="AL76" s="104">
        <v>0</v>
      </c>
      <c r="AM76" s="105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</row>
    <row r="78" spans="1:95" x14ac:dyDescent="0.25">
      <c r="AD78" t="s">
        <v>51</v>
      </c>
    </row>
    <row r="80" spans="1:95" x14ac:dyDescent="0.25">
      <c r="AD80" t="s">
        <v>52</v>
      </c>
    </row>
    <row r="84" spans="30:30" x14ac:dyDescent="0.25">
      <c r="AD84" t="s">
        <v>53</v>
      </c>
    </row>
  </sheetData>
  <mergeCells count="84"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2022-10-05T02:53:28Z</dcterms:created>
  <dcterms:modified xsi:type="dcterms:W3CDTF">2022-10-05T02:54:12Z</dcterms:modified>
</cp:coreProperties>
</file>